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9B85" lockStructure="1"/>
  <bookViews>
    <workbookView xWindow="-15" yWindow="-15" windowWidth="9600" windowHeight="9570" activeTab="8"/>
  </bookViews>
  <sheets>
    <sheet name="INVOERPAGINA" sheetId="13" r:id="rId1"/>
    <sheet name="ACHTER_INVOER" sheetId="1" state="hidden" r:id="rId2"/>
    <sheet name="BEREKENING" sheetId="2" state="hidden" r:id="rId3"/>
    <sheet name="LIJSTJES" sheetId="3" state="hidden" r:id="rId4"/>
    <sheet name="Voeranalyses" sheetId="4" state="hidden" r:id="rId5"/>
    <sheet name="UITVOER" sheetId="5" state="hidden" r:id="rId6"/>
    <sheet name="ALT_INVOER" sheetId="10" state="hidden" r:id="rId7"/>
    <sheet name="ALT_BEREKENING" sheetId="8" state="hidden" r:id="rId8"/>
    <sheet name="RESULTAAT &amp; SIMULATIE" sheetId="9" r:id="rId9"/>
    <sheet name="AFDRUKBLAD" sheetId="14" r:id="rId10"/>
    <sheet name="CBS" sheetId="15" state="hidden" r:id="rId11"/>
    <sheet name="Blad1" sheetId="16" state="hidden" r:id="rId12"/>
  </sheets>
  <definedNames>
    <definedName name="CBS2008NW">CBS!$R$47</definedName>
    <definedName name="CBS2008ZO">CBS!$R$27</definedName>
  </definedNames>
  <calcPr calcId="145621"/>
</workbook>
</file>

<file path=xl/calcChain.xml><?xml version="1.0" encoding="utf-8"?>
<calcChain xmlns="http://schemas.openxmlformats.org/spreadsheetml/2006/main">
  <c r="D104" i="8" l="1"/>
  <c r="D103" i="8"/>
  <c r="D102" i="8"/>
  <c r="H104" i="2"/>
  <c r="H103" i="2"/>
  <c r="H102" i="2"/>
  <c r="H101" i="2"/>
  <c r="F104" i="2"/>
  <c r="F103" i="2"/>
  <c r="F102" i="2"/>
  <c r="F101" i="2"/>
  <c r="D104" i="2"/>
  <c r="D103" i="2"/>
  <c r="D102" i="2"/>
  <c r="D101" i="2"/>
  <c r="E57" i="13" l="1"/>
  <c r="E34" i="9" l="1"/>
  <c r="E33" i="9"/>
  <c r="F15" i="14"/>
  <c r="D15" i="14"/>
  <c r="C12" i="14"/>
  <c r="B12" i="14"/>
  <c r="C11" i="14"/>
  <c r="B11" i="14"/>
  <c r="G10" i="14"/>
  <c r="F10" i="14"/>
  <c r="C10" i="14"/>
  <c r="B10" i="14"/>
  <c r="G9" i="14"/>
  <c r="F9" i="14"/>
  <c r="C9" i="14"/>
  <c r="B9" i="14"/>
  <c r="G8" i="14"/>
  <c r="F8" i="14"/>
  <c r="C8" i="14"/>
  <c r="B8" i="14"/>
  <c r="G7" i="14"/>
  <c r="F7" i="14"/>
  <c r="C7" i="14"/>
  <c r="B7" i="14"/>
  <c r="D5" i="14"/>
  <c r="B5" i="14"/>
  <c r="B4" i="14"/>
  <c r="B3" i="14"/>
  <c r="C12" i="9" l="1"/>
  <c r="E34" i="14" s="1"/>
  <c r="C11" i="9"/>
  <c r="E33" i="14" s="1"/>
  <c r="C9" i="9"/>
  <c r="E31" i="14" s="1"/>
  <c r="M36" i="9"/>
  <c r="AF29" i="15" l="1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X52" i="15"/>
  <c r="X51" i="15"/>
  <c r="X50" i="15"/>
  <c r="X49" i="15"/>
  <c r="X47" i="15"/>
  <c r="X46" i="15"/>
  <c r="X45" i="15"/>
  <c r="X44" i="15"/>
  <c r="X43" i="15"/>
  <c r="X42" i="15"/>
  <c r="X41" i="15"/>
  <c r="X40" i="15"/>
  <c r="X39" i="15"/>
  <c r="X38" i="15"/>
  <c r="X37" i="15"/>
  <c r="X36" i="15"/>
  <c r="X35" i="15"/>
  <c r="X34" i="15"/>
  <c r="X33" i="15"/>
  <c r="X32" i="15"/>
  <c r="X31" i="15"/>
  <c r="X30" i="15"/>
  <c r="X29" i="15"/>
  <c r="X27" i="15"/>
  <c r="X26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E3" i="15"/>
  <c r="B64" i="9" l="1"/>
  <c r="B63" i="9"/>
  <c r="B62" i="9"/>
  <c r="B61" i="9"/>
  <c r="B60" i="9"/>
  <c r="B59" i="9"/>
  <c r="B58" i="9"/>
  <c r="B57" i="9"/>
  <c r="B56" i="9"/>
  <c r="E56" i="9"/>
  <c r="F63" i="9"/>
  <c r="F62" i="9"/>
  <c r="F61" i="9"/>
  <c r="F60" i="9"/>
  <c r="F59" i="9"/>
  <c r="F58" i="9"/>
  <c r="F57" i="9"/>
  <c r="F56" i="9"/>
  <c r="V43" i="10"/>
  <c r="X43" i="10" s="1"/>
  <c r="U43" i="10"/>
  <c r="T43" i="10"/>
  <c r="S63" i="9" s="1"/>
  <c r="S43" i="10"/>
  <c r="Q43" i="10"/>
  <c r="P43" i="10"/>
  <c r="O43" i="10"/>
  <c r="R43" i="10" s="1"/>
  <c r="V42" i="10"/>
  <c r="X42" i="10" s="1"/>
  <c r="U42" i="10"/>
  <c r="T42" i="10"/>
  <c r="S62" i="9" s="1"/>
  <c r="S42" i="10"/>
  <c r="Q42" i="10"/>
  <c r="P42" i="10"/>
  <c r="O42" i="10"/>
  <c r="R42" i="10" s="1"/>
  <c r="V41" i="10"/>
  <c r="Y41" i="10" s="1"/>
  <c r="U41" i="10"/>
  <c r="T41" i="10"/>
  <c r="S61" i="9" s="1"/>
  <c r="S41" i="10"/>
  <c r="Q41" i="10"/>
  <c r="P41" i="10"/>
  <c r="O41" i="10"/>
  <c r="R41" i="10" s="1"/>
  <c r="V40" i="10"/>
  <c r="X40" i="10" s="1"/>
  <c r="U40" i="10"/>
  <c r="T40" i="10"/>
  <c r="S60" i="9" s="1"/>
  <c r="S40" i="10"/>
  <c r="Q40" i="10"/>
  <c r="P40" i="10"/>
  <c r="O40" i="10"/>
  <c r="R40" i="10" s="1"/>
  <c r="V39" i="10"/>
  <c r="Y39" i="10" s="1"/>
  <c r="U39" i="10"/>
  <c r="T39" i="10"/>
  <c r="S59" i="9" s="1"/>
  <c r="S39" i="10"/>
  <c r="Q39" i="10"/>
  <c r="P39" i="10"/>
  <c r="O39" i="10"/>
  <c r="R39" i="10" s="1"/>
  <c r="V38" i="10"/>
  <c r="X38" i="10" s="1"/>
  <c r="U38" i="10"/>
  <c r="T38" i="10"/>
  <c r="S58" i="9" s="1"/>
  <c r="S38" i="10"/>
  <c r="Q38" i="10"/>
  <c r="P38" i="10"/>
  <c r="O38" i="10"/>
  <c r="R38" i="10" s="1"/>
  <c r="V37" i="10"/>
  <c r="Y37" i="10" s="1"/>
  <c r="U37" i="10"/>
  <c r="T37" i="10"/>
  <c r="S57" i="9" s="1"/>
  <c r="S37" i="10"/>
  <c r="Q37" i="10"/>
  <c r="P37" i="10"/>
  <c r="O37" i="10"/>
  <c r="R37" i="10" s="1"/>
  <c r="V36" i="10"/>
  <c r="X36" i="10" s="1"/>
  <c r="U36" i="10"/>
  <c r="T36" i="10"/>
  <c r="S56" i="9" s="1"/>
  <c r="S36" i="10"/>
  <c r="Q36" i="10"/>
  <c r="P36" i="10"/>
  <c r="O36" i="10"/>
  <c r="R36" i="10" s="1"/>
  <c r="E37" i="1"/>
  <c r="F42" i="1"/>
  <c r="F41" i="1"/>
  <c r="F40" i="1"/>
  <c r="F39" i="1"/>
  <c r="F38" i="1"/>
  <c r="F37" i="1"/>
  <c r="F36" i="1"/>
  <c r="J36" i="1"/>
  <c r="I36" i="1"/>
  <c r="H36" i="1"/>
  <c r="G36" i="1"/>
  <c r="V36" i="1" s="1"/>
  <c r="J37" i="1"/>
  <c r="I37" i="1"/>
  <c r="H37" i="1"/>
  <c r="G37" i="1"/>
  <c r="V37" i="1" s="1"/>
  <c r="E36" i="1"/>
  <c r="B42" i="1"/>
  <c r="B41" i="1"/>
  <c r="B40" i="1"/>
  <c r="B39" i="1"/>
  <c r="B38" i="1"/>
  <c r="B37" i="1"/>
  <c r="B36" i="1"/>
  <c r="X37" i="1" l="1"/>
  <c r="E57" i="9"/>
  <c r="W43" i="10"/>
  <c r="Y43" i="10"/>
  <c r="Y36" i="1"/>
  <c r="E38" i="1"/>
  <c r="O38" i="1" s="1"/>
  <c r="Q36" i="1"/>
  <c r="Q37" i="1"/>
  <c r="W36" i="10"/>
  <c r="Y36" i="10"/>
  <c r="X37" i="10"/>
  <c r="W38" i="10"/>
  <c r="Y38" i="10"/>
  <c r="X39" i="10"/>
  <c r="W40" i="10"/>
  <c r="Y40" i="10"/>
  <c r="X41" i="10"/>
  <c r="W42" i="10"/>
  <c r="Y42" i="10"/>
  <c r="W37" i="10"/>
  <c r="W39" i="10"/>
  <c r="W41" i="10"/>
  <c r="U37" i="1"/>
  <c r="T36" i="1"/>
  <c r="K63" i="13" s="1"/>
  <c r="G56" i="9" s="1"/>
  <c r="O37" i="1"/>
  <c r="R37" i="1" s="1"/>
  <c r="T37" i="1"/>
  <c r="K64" i="13" s="1"/>
  <c r="G57" i="9" s="1"/>
  <c r="P37" i="1"/>
  <c r="S37" i="1"/>
  <c r="W37" i="1"/>
  <c r="P36" i="1"/>
  <c r="S36" i="1"/>
  <c r="U36" i="1"/>
  <c r="O36" i="1"/>
  <c r="R36" i="1" s="1"/>
  <c r="X36" i="1"/>
  <c r="Y37" i="1"/>
  <c r="W36" i="1"/>
  <c r="E58" i="9" l="1"/>
  <c r="I38" i="1"/>
  <c r="J38" i="1"/>
  <c r="U38" i="1" s="1"/>
  <c r="G38" i="1"/>
  <c r="P38" i="1" s="1"/>
  <c r="H38" i="1"/>
  <c r="E59" i="9" l="1"/>
  <c r="E39" i="1"/>
  <c r="O39" i="1" s="1"/>
  <c r="S38" i="1"/>
  <c r="V38" i="1"/>
  <c r="Y38" i="1" s="1"/>
  <c r="Q38" i="1"/>
  <c r="J39" i="1"/>
  <c r="I39" i="1"/>
  <c r="H39" i="1"/>
  <c r="G39" i="1"/>
  <c r="T38" i="1"/>
  <c r="K65" i="13" s="1"/>
  <c r="G58" i="9" s="1"/>
  <c r="R38" i="1"/>
  <c r="E38" i="2"/>
  <c r="E60" i="9" l="1"/>
  <c r="E40" i="1"/>
  <c r="O40" i="1" s="1"/>
  <c r="X38" i="1"/>
  <c r="T39" i="1"/>
  <c r="K66" i="13" s="1"/>
  <c r="G59" i="9" s="1"/>
  <c r="V39" i="1"/>
  <c r="X39" i="1" s="1"/>
  <c r="Q39" i="1"/>
  <c r="P39" i="1"/>
  <c r="S39" i="1"/>
  <c r="R39" i="1"/>
  <c r="I40" i="1"/>
  <c r="J40" i="1"/>
  <c r="G40" i="1"/>
  <c r="H40" i="1"/>
  <c r="U39" i="1"/>
  <c r="W38" i="1"/>
  <c r="J65" i="1"/>
  <c r="I65" i="1"/>
  <c r="H65" i="1"/>
  <c r="G65" i="1"/>
  <c r="J56" i="1"/>
  <c r="I56" i="1"/>
  <c r="H56" i="1"/>
  <c r="G56" i="1"/>
  <c r="J47" i="1"/>
  <c r="I47" i="1"/>
  <c r="H47" i="1"/>
  <c r="G47" i="1"/>
  <c r="J66" i="10"/>
  <c r="I66" i="10"/>
  <c r="H66" i="10"/>
  <c r="G66" i="10"/>
  <c r="J57" i="10"/>
  <c r="I57" i="10"/>
  <c r="H57" i="10"/>
  <c r="G57" i="10"/>
  <c r="E61" i="9" l="1"/>
  <c r="E41" i="1"/>
  <c r="O41" i="1" s="1"/>
  <c r="Y39" i="1"/>
  <c r="W39" i="1"/>
  <c r="S40" i="1"/>
  <c r="V40" i="1"/>
  <c r="Y40" i="1" s="1"/>
  <c r="Q40" i="1"/>
  <c r="P40" i="1"/>
  <c r="U40" i="1"/>
  <c r="T40" i="1"/>
  <c r="K67" i="13" s="1"/>
  <c r="G60" i="9" s="1"/>
  <c r="R40" i="1"/>
  <c r="H42" i="1"/>
  <c r="H41" i="1"/>
  <c r="G42" i="1"/>
  <c r="G41" i="1"/>
  <c r="J42" i="1"/>
  <c r="J41" i="1"/>
  <c r="I42" i="1"/>
  <c r="I41" i="1"/>
  <c r="B7" i="1"/>
  <c r="B15" i="1"/>
  <c r="B13" i="1"/>
  <c r="B8" i="1"/>
  <c r="B11" i="1"/>
  <c r="B10" i="1"/>
  <c r="B9" i="1"/>
  <c r="B5" i="1"/>
  <c r="E62" i="9" l="1"/>
  <c r="E42" i="1"/>
  <c r="S42" i="1" s="1"/>
  <c r="T41" i="1"/>
  <c r="K68" i="13" s="1"/>
  <c r="G61" i="9" s="1"/>
  <c r="P42" i="1"/>
  <c r="U41" i="1"/>
  <c r="V41" i="1"/>
  <c r="X41" i="1" s="1"/>
  <c r="Q41" i="1"/>
  <c r="P41" i="1"/>
  <c r="S41" i="1"/>
  <c r="R41" i="1"/>
  <c r="W40" i="1"/>
  <c r="V42" i="1"/>
  <c r="X42" i="1" s="1"/>
  <c r="Q42" i="1"/>
  <c r="W42" i="1"/>
  <c r="X40" i="1"/>
  <c r="D52" i="2"/>
  <c r="E66" i="10"/>
  <c r="E57" i="10"/>
  <c r="E48" i="10"/>
  <c r="J48" i="10"/>
  <c r="I48" i="10"/>
  <c r="H48" i="10"/>
  <c r="G48" i="10"/>
  <c r="V30" i="10"/>
  <c r="W30" i="10" s="1"/>
  <c r="U30" i="10"/>
  <c r="Y30" i="10" s="1"/>
  <c r="T30" i="10"/>
  <c r="S30" i="10"/>
  <c r="Q30" i="10"/>
  <c r="P30" i="10"/>
  <c r="O30" i="10"/>
  <c r="R30" i="10" s="1"/>
  <c r="V29" i="10"/>
  <c r="W29" i="10" s="1"/>
  <c r="U29" i="10"/>
  <c r="Y29" i="10" s="1"/>
  <c r="T29" i="10"/>
  <c r="S29" i="10"/>
  <c r="Q29" i="10"/>
  <c r="P29" i="10"/>
  <c r="O29" i="10"/>
  <c r="R29" i="10" s="1"/>
  <c r="U28" i="10"/>
  <c r="Y28" i="10" s="1"/>
  <c r="T28" i="10"/>
  <c r="X28" i="10" s="1"/>
  <c r="S28" i="10"/>
  <c r="P28" i="10"/>
  <c r="Q28" i="10" s="1"/>
  <c r="O28" i="10"/>
  <c r="R28" i="10" s="1"/>
  <c r="C143" i="2"/>
  <c r="F64" i="9"/>
  <c r="A18" i="9"/>
  <c r="F55" i="9"/>
  <c r="E55" i="9"/>
  <c r="B55" i="9"/>
  <c r="F54" i="9"/>
  <c r="E54" i="9"/>
  <c r="B54" i="9"/>
  <c r="H52" i="9"/>
  <c r="F50" i="9"/>
  <c r="E50" i="9"/>
  <c r="B50" i="9"/>
  <c r="F49" i="9"/>
  <c r="E49" i="9"/>
  <c r="B49" i="9"/>
  <c r="F48" i="9"/>
  <c r="E48" i="9"/>
  <c r="B48" i="9"/>
  <c r="F47" i="9"/>
  <c r="E47" i="9"/>
  <c r="B47" i="9"/>
  <c r="F46" i="9"/>
  <c r="E46" i="9"/>
  <c r="B46" i="9"/>
  <c r="F45" i="9"/>
  <c r="E45" i="9"/>
  <c r="B45" i="9"/>
  <c r="F44" i="9"/>
  <c r="E44" i="9"/>
  <c r="B44" i="9"/>
  <c r="F43" i="9"/>
  <c r="E43" i="9"/>
  <c r="B43" i="9"/>
  <c r="E42" i="9"/>
  <c r="B42" i="9"/>
  <c r="I39" i="9"/>
  <c r="A38" i="9"/>
  <c r="F35" i="9"/>
  <c r="E35" i="9"/>
  <c r="D35" i="9"/>
  <c r="C35" i="9"/>
  <c r="B35" i="9"/>
  <c r="J35" i="9" s="1"/>
  <c r="B66" i="10" s="1"/>
  <c r="F34" i="9"/>
  <c r="D34" i="9"/>
  <c r="C34" i="9"/>
  <c r="B34" i="9"/>
  <c r="J34" i="9" s="1"/>
  <c r="B57" i="10" s="1"/>
  <c r="F33" i="9"/>
  <c r="D33" i="9"/>
  <c r="C33" i="9"/>
  <c r="B33" i="9"/>
  <c r="J33" i="9" s="1"/>
  <c r="B48" i="10" s="1"/>
  <c r="E29" i="9"/>
  <c r="D29" i="9"/>
  <c r="A27" i="9"/>
  <c r="F25" i="9"/>
  <c r="E25" i="9"/>
  <c r="D25" i="9"/>
  <c r="C25" i="9"/>
  <c r="B25" i="9"/>
  <c r="J25" i="9" s="1"/>
  <c r="F24" i="9"/>
  <c r="E24" i="9"/>
  <c r="D24" i="9"/>
  <c r="C24" i="9"/>
  <c r="B24" i="9"/>
  <c r="J24" i="9" s="1"/>
  <c r="F23" i="9"/>
  <c r="E23" i="9"/>
  <c r="D23" i="9"/>
  <c r="C23" i="9"/>
  <c r="B23" i="9"/>
  <c r="J23" i="9" s="1"/>
  <c r="A22" i="9"/>
  <c r="G20" i="9"/>
  <c r="F20" i="9"/>
  <c r="E20" i="9"/>
  <c r="D20" i="9"/>
  <c r="C20" i="9"/>
  <c r="B20" i="9"/>
  <c r="E64" i="9" l="1"/>
  <c r="E63" i="9"/>
  <c r="U42" i="1"/>
  <c r="T42" i="1"/>
  <c r="K69" i="13" s="1"/>
  <c r="G62" i="9" s="1"/>
  <c r="O42" i="1"/>
  <c r="R42" i="1" s="1"/>
  <c r="Y42" i="1"/>
  <c r="W41" i="1"/>
  <c r="Y41" i="1"/>
  <c r="X29" i="10"/>
  <c r="S48" i="9"/>
  <c r="X30" i="10"/>
  <c r="S49" i="9"/>
  <c r="V28" i="10"/>
  <c r="W28" i="10" s="1"/>
  <c r="S47" i="9"/>
  <c r="C90" i="2"/>
  <c r="F44" i="1" l="1"/>
  <c r="F43" i="1"/>
  <c r="F35" i="1"/>
  <c r="J44" i="1"/>
  <c r="I44" i="1"/>
  <c r="H44" i="1"/>
  <c r="G44" i="1"/>
  <c r="J43" i="1"/>
  <c r="I43" i="1"/>
  <c r="H43" i="1"/>
  <c r="G43" i="1"/>
  <c r="J35" i="1"/>
  <c r="I35" i="1"/>
  <c r="H35" i="1"/>
  <c r="G35" i="1"/>
  <c r="E44" i="1"/>
  <c r="E43" i="1"/>
  <c r="E35" i="1"/>
  <c r="E65" i="1"/>
  <c r="E56" i="1" l="1"/>
  <c r="E47" i="1"/>
  <c r="E44" i="13" l="1"/>
  <c r="E36" i="9" s="1"/>
  <c r="B47" i="1"/>
  <c r="B56" i="1"/>
  <c r="B65" i="1"/>
  <c r="B44" i="1"/>
  <c r="B43" i="1"/>
  <c r="B35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P27" i="1" s="1"/>
  <c r="Q27" i="1" s="1"/>
  <c r="J26" i="1"/>
  <c r="I26" i="1"/>
  <c r="H26" i="1"/>
  <c r="G26" i="1"/>
  <c r="J25" i="1"/>
  <c r="I25" i="1"/>
  <c r="H25" i="1"/>
  <c r="G25" i="1"/>
  <c r="J24" i="1"/>
  <c r="I24" i="1"/>
  <c r="H24" i="1"/>
  <c r="G24" i="1"/>
  <c r="R24" i="1" s="1"/>
  <c r="E27" i="1"/>
  <c r="B27" i="1"/>
  <c r="E26" i="1"/>
  <c r="U26" i="1" s="1"/>
  <c r="B26" i="1"/>
  <c r="E25" i="1"/>
  <c r="U25" i="1" s="1"/>
  <c r="B25" i="1"/>
  <c r="E31" i="1"/>
  <c r="E30" i="1"/>
  <c r="E29" i="1"/>
  <c r="E28" i="1"/>
  <c r="E24" i="1"/>
  <c r="U24" i="1" s="1"/>
  <c r="Y24" i="1" s="1"/>
  <c r="B31" i="1"/>
  <c r="B30" i="1"/>
  <c r="B29" i="1"/>
  <c r="B28" i="1"/>
  <c r="B24" i="1"/>
  <c r="U27" i="1"/>
  <c r="C52" i="2"/>
  <c r="C7" i="2"/>
  <c r="D7" i="2" s="1"/>
  <c r="K7" i="2" s="1"/>
  <c r="G5" i="2"/>
  <c r="E5" i="2"/>
  <c r="C5" i="2"/>
  <c r="P26" i="1" l="1"/>
  <c r="Q26" i="1" s="1"/>
  <c r="P25" i="1"/>
  <c r="Q25" i="1" s="1"/>
  <c r="O25" i="1"/>
  <c r="V25" i="1" s="1"/>
  <c r="W25" i="1" s="1"/>
  <c r="Y25" i="1"/>
  <c r="Y26" i="1"/>
  <c r="Y27" i="1"/>
  <c r="O24" i="1"/>
  <c r="V24" i="1" s="1"/>
  <c r="W24" i="1" s="1"/>
  <c r="S26" i="1"/>
  <c r="S27" i="1"/>
  <c r="S24" i="1"/>
  <c r="P24" i="1"/>
  <c r="Q24" i="1" s="1"/>
  <c r="T25" i="1"/>
  <c r="O26" i="1"/>
  <c r="V26" i="1" s="1"/>
  <c r="W26" i="1" s="1"/>
  <c r="T26" i="1"/>
  <c r="S25" i="1"/>
  <c r="T24" i="1"/>
  <c r="O27" i="1"/>
  <c r="V27" i="1" s="1"/>
  <c r="W27" i="1" s="1"/>
  <c r="T27" i="1"/>
  <c r="R27" i="1"/>
  <c r="R25" i="1"/>
  <c r="R26" i="1"/>
  <c r="C89" i="2"/>
  <c r="K53" i="13" l="1"/>
  <c r="G46" i="9" s="1"/>
  <c r="K52" i="13"/>
  <c r="G45" i="9" s="1"/>
  <c r="K51" i="13"/>
  <c r="G44" i="9" s="1"/>
  <c r="X24" i="1"/>
  <c r="K50" i="13"/>
  <c r="G43" i="9" s="1"/>
  <c r="X27" i="1"/>
  <c r="X26" i="1"/>
  <c r="X25" i="1"/>
  <c r="C89" i="8"/>
  <c r="F9" i="2" l="1"/>
  <c r="B15" i="10" l="1"/>
  <c r="B13" i="10"/>
  <c r="B11" i="10"/>
  <c r="B10" i="10"/>
  <c r="B9" i="10"/>
  <c r="B7" i="10"/>
  <c r="B8" i="10" s="1"/>
  <c r="B5" i="10"/>
  <c r="B4" i="10"/>
  <c r="B3" i="10"/>
  <c r="C5" i="8" l="1"/>
  <c r="F9" i="8"/>
  <c r="D52" i="8"/>
  <c r="C143" i="8"/>
  <c r="C92" i="8"/>
  <c r="C91" i="8"/>
  <c r="C90" i="8"/>
  <c r="B71" i="8"/>
  <c r="C77" i="8" s="1"/>
  <c r="C78" i="8" s="1"/>
  <c r="H18" i="8"/>
  <c r="G158" i="8" s="1"/>
  <c r="F18" i="8"/>
  <c r="D18" i="8"/>
  <c r="H17" i="8"/>
  <c r="G157" i="8" s="1"/>
  <c r="F17" i="8"/>
  <c r="E157" i="8" s="1"/>
  <c r="H12" i="8"/>
  <c r="F12" i="8"/>
  <c r="D12" i="8"/>
  <c r="H11" i="8"/>
  <c r="F11" i="8"/>
  <c r="D11" i="8"/>
  <c r="H10" i="8"/>
  <c r="F10" i="8"/>
  <c r="D10" i="8"/>
  <c r="H9" i="8"/>
  <c r="D9" i="8"/>
  <c r="H8" i="8"/>
  <c r="F8" i="8"/>
  <c r="D8" i="8"/>
  <c r="C7" i="8"/>
  <c r="D7" i="8" s="1"/>
  <c r="G5" i="8"/>
  <c r="H5" i="8" s="1"/>
  <c r="E5" i="8"/>
  <c r="F5" i="8" s="1"/>
  <c r="D5" i="8"/>
  <c r="AB72" i="10"/>
  <c r="AA72" i="10"/>
  <c r="R72" i="10"/>
  <c r="Q72" i="10"/>
  <c r="U71" i="10"/>
  <c r="T71" i="10"/>
  <c r="S71" i="10"/>
  <c r="P71" i="10"/>
  <c r="O71" i="10"/>
  <c r="V71" i="10" s="1"/>
  <c r="U70" i="10"/>
  <c r="T70" i="10"/>
  <c r="S70" i="10"/>
  <c r="P70" i="10"/>
  <c r="O70" i="10"/>
  <c r="V70" i="10" s="1"/>
  <c r="U69" i="10"/>
  <c r="T69" i="10"/>
  <c r="S69" i="10"/>
  <c r="P69" i="10"/>
  <c r="O69" i="10"/>
  <c r="V69" i="10" s="1"/>
  <c r="U68" i="10"/>
  <c r="T68" i="10"/>
  <c r="S68" i="10"/>
  <c r="P68" i="10"/>
  <c r="O68" i="10"/>
  <c r="V68" i="10" s="1"/>
  <c r="U67" i="10"/>
  <c r="T67" i="10"/>
  <c r="S67" i="10"/>
  <c r="P67" i="10"/>
  <c r="O67" i="10"/>
  <c r="V67" i="10" s="1"/>
  <c r="U66" i="10"/>
  <c r="T66" i="10"/>
  <c r="S66" i="10"/>
  <c r="P66" i="10"/>
  <c r="O66" i="10"/>
  <c r="V66" i="10" s="1"/>
  <c r="U65" i="10"/>
  <c r="T65" i="10"/>
  <c r="S65" i="10"/>
  <c r="P65" i="10"/>
  <c r="O65" i="10"/>
  <c r="V65" i="10" s="1"/>
  <c r="AB63" i="10"/>
  <c r="AA63" i="10"/>
  <c r="R63" i="10"/>
  <c r="Q63" i="10"/>
  <c r="U62" i="10"/>
  <c r="T62" i="10"/>
  <c r="S62" i="10"/>
  <c r="P62" i="10"/>
  <c r="O62" i="10"/>
  <c r="V62" i="10" s="1"/>
  <c r="X62" i="10" s="1"/>
  <c r="U61" i="10"/>
  <c r="T61" i="10"/>
  <c r="S61" i="10"/>
  <c r="P61" i="10"/>
  <c r="O61" i="10"/>
  <c r="V61" i="10" s="1"/>
  <c r="Y61" i="10" s="1"/>
  <c r="U60" i="10"/>
  <c r="T60" i="10"/>
  <c r="S60" i="10"/>
  <c r="P60" i="10"/>
  <c r="O60" i="10"/>
  <c r="V60" i="10" s="1"/>
  <c r="X60" i="10" s="1"/>
  <c r="U59" i="10"/>
  <c r="T59" i="10"/>
  <c r="S59" i="10"/>
  <c r="P59" i="10"/>
  <c r="O59" i="10"/>
  <c r="V59" i="10" s="1"/>
  <c r="Y59" i="10" s="1"/>
  <c r="U58" i="10"/>
  <c r="T58" i="10"/>
  <c r="S58" i="10"/>
  <c r="P58" i="10"/>
  <c r="O58" i="10"/>
  <c r="V58" i="10" s="1"/>
  <c r="U57" i="10"/>
  <c r="T57" i="10"/>
  <c r="S57" i="10"/>
  <c r="P57" i="10"/>
  <c r="O57" i="10"/>
  <c r="V57" i="10" s="1"/>
  <c r="U56" i="10"/>
  <c r="T56" i="10"/>
  <c r="S56" i="10"/>
  <c r="P56" i="10"/>
  <c r="O56" i="10"/>
  <c r="V56" i="10" s="1"/>
  <c r="X56" i="10" s="1"/>
  <c r="AB54" i="10"/>
  <c r="AA54" i="10"/>
  <c r="R54" i="10"/>
  <c r="Q54" i="10"/>
  <c r="U53" i="10"/>
  <c r="T53" i="10"/>
  <c r="S53" i="10"/>
  <c r="P53" i="10"/>
  <c r="O53" i="10"/>
  <c r="V53" i="10" s="1"/>
  <c r="Y53" i="10" s="1"/>
  <c r="U52" i="10"/>
  <c r="T52" i="10"/>
  <c r="S52" i="10"/>
  <c r="P52" i="10"/>
  <c r="O52" i="10"/>
  <c r="V52" i="10" s="1"/>
  <c r="U51" i="10"/>
  <c r="T51" i="10"/>
  <c r="S51" i="10"/>
  <c r="P51" i="10"/>
  <c r="O51" i="10"/>
  <c r="V51" i="10" s="1"/>
  <c r="U50" i="10"/>
  <c r="T50" i="10"/>
  <c r="S50" i="10"/>
  <c r="P50" i="10"/>
  <c r="O50" i="10"/>
  <c r="V50" i="10" s="1"/>
  <c r="U49" i="10"/>
  <c r="T49" i="10"/>
  <c r="S49" i="10"/>
  <c r="P49" i="10"/>
  <c r="O49" i="10"/>
  <c r="V49" i="10" s="1"/>
  <c r="Y49" i="10" s="1"/>
  <c r="U48" i="10"/>
  <c r="T48" i="10"/>
  <c r="S48" i="10"/>
  <c r="P48" i="10"/>
  <c r="O48" i="10"/>
  <c r="V48" i="10" s="1"/>
  <c r="U47" i="10"/>
  <c r="T47" i="10"/>
  <c r="S47" i="10"/>
  <c r="P47" i="10"/>
  <c r="O47" i="10"/>
  <c r="U44" i="10"/>
  <c r="T44" i="10"/>
  <c r="S64" i="9" s="1"/>
  <c r="S44" i="10"/>
  <c r="P44" i="10"/>
  <c r="Q44" i="10" s="1"/>
  <c r="O44" i="10"/>
  <c r="R44" i="10" s="1"/>
  <c r="V35" i="10"/>
  <c r="X35" i="10" s="1"/>
  <c r="U35" i="10"/>
  <c r="T35" i="10"/>
  <c r="S55" i="9" s="1"/>
  <c r="S35" i="10"/>
  <c r="Q35" i="10"/>
  <c r="P35" i="10"/>
  <c r="O35" i="10"/>
  <c r="R35" i="10" s="1"/>
  <c r="U31" i="10"/>
  <c r="Y31" i="10" s="1"/>
  <c r="T31" i="10"/>
  <c r="S50" i="9" s="1"/>
  <c r="S31" i="10"/>
  <c r="R31" i="10"/>
  <c r="P31" i="10"/>
  <c r="Q31" i="10" s="1"/>
  <c r="O31" i="10"/>
  <c r="V31" i="10" s="1"/>
  <c r="W31" i="10" s="1"/>
  <c r="U27" i="10"/>
  <c r="Y27" i="10" s="1"/>
  <c r="T27" i="10"/>
  <c r="S27" i="10"/>
  <c r="R27" i="10"/>
  <c r="P27" i="10"/>
  <c r="Q27" i="10" s="1"/>
  <c r="O27" i="10"/>
  <c r="V27" i="10" s="1"/>
  <c r="W27" i="10" s="1"/>
  <c r="U26" i="10"/>
  <c r="Y26" i="10" s="1"/>
  <c r="T26" i="10"/>
  <c r="S26" i="10"/>
  <c r="R26" i="10"/>
  <c r="P26" i="10"/>
  <c r="Q26" i="10" s="1"/>
  <c r="O26" i="10"/>
  <c r="V26" i="10" s="1"/>
  <c r="W26" i="10" s="1"/>
  <c r="U25" i="10"/>
  <c r="Y25" i="10" s="1"/>
  <c r="T25" i="10"/>
  <c r="S25" i="10"/>
  <c r="R25" i="10"/>
  <c r="P25" i="10"/>
  <c r="Q25" i="10" s="1"/>
  <c r="O25" i="10"/>
  <c r="V25" i="10" s="1"/>
  <c r="W25" i="10" s="1"/>
  <c r="U24" i="10"/>
  <c r="T24" i="10"/>
  <c r="S43" i="9" s="1"/>
  <c r="S24" i="10"/>
  <c r="R24" i="10"/>
  <c r="P24" i="10"/>
  <c r="Q24" i="10" s="1"/>
  <c r="O24" i="10"/>
  <c r="B174" i="8"/>
  <c r="B173" i="8"/>
  <c r="B172" i="8"/>
  <c r="B171" i="8"/>
  <c r="B165" i="8"/>
  <c r="B182" i="8" s="1"/>
  <c r="B188" i="8" s="1"/>
  <c r="B164" i="8"/>
  <c r="B181" i="8" s="1"/>
  <c r="B187" i="8" s="1"/>
  <c r="B163" i="8"/>
  <c r="B180" i="8" s="1"/>
  <c r="B186" i="8" s="1"/>
  <c r="B162" i="8"/>
  <c r="B179" i="8" s="1"/>
  <c r="B185" i="8" s="1"/>
  <c r="B161" i="8"/>
  <c r="B178" i="8" s="1"/>
  <c r="C133" i="8"/>
  <c r="C131" i="8"/>
  <c r="C129" i="8"/>
  <c r="C142" i="8" s="1"/>
  <c r="F48" i="8"/>
  <c r="H47" i="8"/>
  <c r="D47" i="8"/>
  <c r="F45" i="8"/>
  <c r="C37" i="8"/>
  <c r="C52" i="8" s="1"/>
  <c r="C31" i="8"/>
  <c r="H56" i="8" s="1"/>
  <c r="C30" i="8"/>
  <c r="H55" i="8" s="1"/>
  <c r="C29" i="8"/>
  <c r="H53" i="8" s="1"/>
  <c r="E158" i="8"/>
  <c r="C17" i="8"/>
  <c r="D17" i="8" s="1"/>
  <c r="G13" i="8"/>
  <c r="H13" i="8" s="1"/>
  <c r="E13" i="8"/>
  <c r="F13" i="8" s="1"/>
  <c r="C13" i="8"/>
  <c r="D13" i="8" s="1"/>
  <c r="G6" i="8"/>
  <c r="H6" i="8" s="1"/>
  <c r="E6" i="8"/>
  <c r="F6" i="8" s="1"/>
  <c r="C6" i="8"/>
  <c r="D6" i="8" s="1"/>
  <c r="B174" i="2"/>
  <c r="B173" i="2"/>
  <c r="B172" i="2"/>
  <c r="B171" i="2"/>
  <c r="B165" i="2"/>
  <c r="B182" i="2" s="1"/>
  <c r="B188" i="2" s="1"/>
  <c r="B164" i="2"/>
  <c r="B181" i="2" s="1"/>
  <c r="B187" i="2" s="1"/>
  <c r="B163" i="2"/>
  <c r="B180" i="2" s="1"/>
  <c r="B186" i="2" s="1"/>
  <c r="B162" i="2"/>
  <c r="B179" i="2" s="1"/>
  <c r="B185" i="2" s="1"/>
  <c r="B161" i="2"/>
  <c r="B178" i="2" s="1"/>
  <c r="V44" i="10" l="1"/>
  <c r="X44" i="10" s="1"/>
  <c r="C157" i="8"/>
  <c r="C158" i="8"/>
  <c r="X25" i="10"/>
  <c r="S44" i="9"/>
  <c r="X26" i="10"/>
  <c r="S45" i="9"/>
  <c r="X27" i="10"/>
  <c r="S46" i="9"/>
  <c r="X31" i="10"/>
  <c r="D45" i="8"/>
  <c r="H45" i="8"/>
  <c r="F47" i="8"/>
  <c r="D48" i="8"/>
  <c r="H48" i="8"/>
  <c r="C53" i="8"/>
  <c r="E53" i="8"/>
  <c r="G53" i="8"/>
  <c r="C54" i="8"/>
  <c r="E54" i="8"/>
  <c r="G54" i="8"/>
  <c r="C55" i="8"/>
  <c r="E55" i="8"/>
  <c r="G55" i="8"/>
  <c r="C56" i="8"/>
  <c r="E56" i="8"/>
  <c r="G56" i="8"/>
  <c r="D53" i="8"/>
  <c r="F53" i="8"/>
  <c r="D54" i="8"/>
  <c r="F54" i="8"/>
  <c r="H54" i="8"/>
  <c r="D55" i="8"/>
  <c r="F55" i="8"/>
  <c r="D56" i="8"/>
  <c r="F56" i="8"/>
  <c r="C144" i="8"/>
  <c r="S45" i="10"/>
  <c r="C61" i="8" s="1"/>
  <c r="U45" i="10"/>
  <c r="E61" i="8" s="1"/>
  <c r="P63" i="10"/>
  <c r="T63" i="10"/>
  <c r="D63" i="8" s="1"/>
  <c r="P72" i="10"/>
  <c r="T72" i="10"/>
  <c r="D64" i="8" s="1"/>
  <c r="C93" i="8"/>
  <c r="C94" i="8" s="1"/>
  <c r="C95" i="8" s="1"/>
  <c r="V72" i="10"/>
  <c r="F64" i="8" s="1"/>
  <c r="W35" i="10"/>
  <c r="P54" i="10"/>
  <c r="T54" i="10"/>
  <c r="D62" i="8" s="1"/>
  <c r="Q45" i="10"/>
  <c r="O45" i="10"/>
  <c r="T45" i="10"/>
  <c r="Y35" i="10"/>
  <c r="O54" i="10"/>
  <c r="S54" i="10"/>
  <c r="C62" i="8" s="1"/>
  <c r="U54" i="10"/>
  <c r="W49" i="10"/>
  <c r="O63" i="10"/>
  <c r="S63" i="10"/>
  <c r="C63" i="8" s="1"/>
  <c r="U63" i="10"/>
  <c r="O72" i="10"/>
  <c r="S72" i="10"/>
  <c r="C64" i="8" s="1"/>
  <c r="U72" i="10"/>
  <c r="E64" i="8" s="1"/>
  <c r="R45" i="10"/>
  <c r="Y51" i="10"/>
  <c r="W51" i="10"/>
  <c r="X51" i="10"/>
  <c r="Y57" i="10"/>
  <c r="W57" i="10"/>
  <c r="X57" i="10"/>
  <c r="X66" i="10"/>
  <c r="Y66" i="10"/>
  <c r="W66" i="10"/>
  <c r="X68" i="10"/>
  <c r="Y68" i="10"/>
  <c r="W68" i="10"/>
  <c r="X70" i="10"/>
  <c r="Y70" i="10"/>
  <c r="W70" i="10"/>
  <c r="X48" i="10"/>
  <c r="Y48" i="10"/>
  <c r="W48" i="10"/>
  <c r="X50" i="10"/>
  <c r="Y50" i="10"/>
  <c r="W50" i="10"/>
  <c r="X52" i="10"/>
  <c r="Y52" i="10"/>
  <c r="W52" i="10"/>
  <c r="X58" i="10"/>
  <c r="Y58" i="10"/>
  <c r="W58" i="10"/>
  <c r="Y67" i="10"/>
  <c r="W67" i="10"/>
  <c r="X67" i="10"/>
  <c r="Y69" i="10"/>
  <c r="W69" i="10"/>
  <c r="X69" i="10"/>
  <c r="Y71" i="10"/>
  <c r="W71" i="10"/>
  <c r="X71" i="10"/>
  <c r="V24" i="10"/>
  <c r="X24" i="10"/>
  <c r="P45" i="10"/>
  <c r="V47" i="10"/>
  <c r="X49" i="10"/>
  <c r="X53" i="10"/>
  <c r="W56" i="10"/>
  <c r="Y56" i="10"/>
  <c r="X59" i="10"/>
  <c r="W60" i="10"/>
  <c r="Y60" i="10"/>
  <c r="X61" i="10"/>
  <c r="W62" i="10"/>
  <c r="Y62" i="10"/>
  <c r="V63" i="10"/>
  <c r="F63" i="8" s="1"/>
  <c r="X65" i="10"/>
  <c r="Y24" i="10"/>
  <c r="W53" i="10"/>
  <c r="W59" i="10"/>
  <c r="W61" i="10"/>
  <c r="W65" i="10"/>
  <c r="Y65" i="10"/>
  <c r="D14" i="8"/>
  <c r="D15" i="8"/>
  <c r="G52" i="8"/>
  <c r="E52" i="8"/>
  <c r="E7" i="8"/>
  <c r="G7" i="8"/>
  <c r="D19" i="8"/>
  <c r="H19" i="8"/>
  <c r="D46" i="8"/>
  <c r="F46" i="8"/>
  <c r="H46" i="8"/>
  <c r="F52" i="8"/>
  <c r="H52" i="8"/>
  <c r="F80" i="8"/>
  <c r="C80" i="8"/>
  <c r="F19" i="8"/>
  <c r="C45" i="8"/>
  <c r="E45" i="8"/>
  <c r="G45" i="8"/>
  <c r="C46" i="8"/>
  <c r="E46" i="8"/>
  <c r="G46" i="8"/>
  <c r="C47" i="8"/>
  <c r="E47" i="8"/>
  <c r="G47" i="8"/>
  <c r="C48" i="8"/>
  <c r="E48" i="8"/>
  <c r="G48" i="8"/>
  <c r="E26" i="5"/>
  <c r="E25" i="5"/>
  <c r="E24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B53" i="5"/>
  <c r="B52" i="5"/>
  <c r="B51" i="5"/>
  <c r="B50" i="5"/>
  <c r="B49" i="5"/>
  <c r="B48" i="5"/>
  <c r="B47" i="5"/>
  <c r="B44" i="5"/>
  <c r="B43" i="5"/>
  <c r="B42" i="5"/>
  <c r="B41" i="5"/>
  <c r="B40" i="5"/>
  <c r="B39" i="5"/>
  <c r="B38" i="5"/>
  <c r="B35" i="5"/>
  <c r="B34" i="5"/>
  <c r="B33" i="5"/>
  <c r="B32" i="5"/>
  <c r="B31" i="5"/>
  <c r="B26" i="5"/>
  <c r="B30" i="5"/>
  <c r="B29" i="5"/>
  <c r="B25" i="5"/>
  <c r="B24" i="5"/>
  <c r="F20" i="5"/>
  <c r="F19" i="5"/>
  <c r="F18" i="5"/>
  <c r="F17" i="5"/>
  <c r="F16" i="5"/>
  <c r="E20" i="5"/>
  <c r="E19" i="5"/>
  <c r="E18" i="5"/>
  <c r="E17" i="5"/>
  <c r="E16" i="5"/>
  <c r="B20" i="5"/>
  <c r="B19" i="5"/>
  <c r="B18" i="5"/>
  <c r="B17" i="5"/>
  <c r="B16" i="5"/>
  <c r="F12" i="2"/>
  <c r="H12" i="2"/>
  <c r="H9" i="2"/>
  <c r="H8" i="2"/>
  <c r="F8" i="2"/>
  <c r="D12" i="2"/>
  <c r="K12" i="2" s="1"/>
  <c r="D9" i="2"/>
  <c r="K9" i="2" s="1"/>
  <c r="D8" i="2"/>
  <c r="K8" i="2" s="1"/>
  <c r="M100" i="8" l="1"/>
  <c r="K100" i="8"/>
  <c r="L100" i="8"/>
  <c r="W44" i="10"/>
  <c r="Y44" i="10"/>
  <c r="Y45" i="10" s="1"/>
  <c r="C57" i="8"/>
  <c r="C121" i="8" s="1"/>
  <c r="E62" i="8"/>
  <c r="I62" i="8" s="1"/>
  <c r="E63" i="8"/>
  <c r="I63" i="8" s="1"/>
  <c r="D57" i="8"/>
  <c r="D121" i="8" s="1"/>
  <c r="C73" i="8"/>
  <c r="AA4" i="9"/>
  <c r="H63" i="8"/>
  <c r="AB45" i="10"/>
  <c r="Z45" i="10"/>
  <c r="G61" i="8"/>
  <c r="F77" i="8"/>
  <c r="F78" i="8" s="1"/>
  <c r="I61" i="8"/>
  <c r="E73" i="8"/>
  <c r="E74" i="8" s="1"/>
  <c r="AA45" i="10"/>
  <c r="D61" i="8"/>
  <c r="H61" i="8" s="1"/>
  <c r="H62" i="8"/>
  <c r="W72" i="10"/>
  <c r="X72" i="10"/>
  <c r="Z72" i="10"/>
  <c r="M104" i="8" s="1"/>
  <c r="I64" i="8"/>
  <c r="G64" i="8"/>
  <c r="H64" i="8"/>
  <c r="J64" i="8" s="1"/>
  <c r="G63" i="8"/>
  <c r="K63" i="8" s="1"/>
  <c r="C97" i="8"/>
  <c r="C98" i="8" s="1"/>
  <c r="G62" i="8"/>
  <c r="F7" i="8"/>
  <c r="F15" i="8" s="1"/>
  <c r="AA2" i="9"/>
  <c r="H7" i="8"/>
  <c r="H15" i="8" s="1"/>
  <c r="K7" i="9"/>
  <c r="F27" i="14" s="1"/>
  <c r="J7" i="9"/>
  <c r="F26" i="14" s="1"/>
  <c r="X63" i="10"/>
  <c r="Z63" i="10"/>
  <c r="Z54" i="10"/>
  <c r="Y72" i="10"/>
  <c r="W63" i="10"/>
  <c r="X45" i="10"/>
  <c r="Y63" i="10"/>
  <c r="V54" i="10"/>
  <c r="F62" i="8" s="1"/>
  <c r="Y47" i="10"/>
  <c r="Y54" i="10" s="1"/>
  <c r="W47" i="10"/>
  <c r="W54" i="10" s="1"/>
  <c r="X47" i="10"/>
  <c r="X54" i="10" s="1"/>
  <c r="W24" i="10"/>
  <c r="V45" i="10"/>
  <c r="F61" i="8" s="1"/>
  <c r="H57" i="8"/>
  <c r="H121" i="8" s="1"/>
  <c r="E57" i="8"/>
  <c r="E121" i="8" s="1"/>
  <c r="D20" i="8"/>
  <c r="D22" i="8"/>
  <c r="F57" i="8"/>
  <c r="F121" i="8" s="1"/>
  <c r="G57" i="8"/>
  <c r="G121" i="8" s="1"/>
  <c r="T31" i="1"/>
  <c r="K57" i="13" s="1"/>
  <c r="G50" i="9" s="1"/>
  <c r="T30" i="1"/>
  <c r="K56" i="13" s="1"/>
  <c r="G49" i="9" s="1"/>
  <c r="T29" i="1"/>
  <c r="K55" i="13" s="1"/>
  <c r="G48" i="9" s="1"/>
  <c r="T28" i="1"/>
  <c r="K54" i="13" s="1"/>
  <c r="G47" i="9" s="1"/>
  <c r="S31" i="1"/>
  <c r="S30" i="1"/>
  <c r="S29" i="1"/>
  <c r="S28" i="1"/>
  <c r="U31" i="1"/>
  <c r="U30" i="1"/>
  <c r="U29" i="1"/>
  <c r="U28" i="1"/>
  <c r="S35" i="1"/>
  <c r="S43" i="1"/>
  <c r="S44" i="1"/>
  <c r="O48" i="1"/>
  <c r="P48" i="1"/>
  <c r="O49" i="1"/>
  <c r="P49" i="1"/>
  <c r="O50" i="1"/>
  <c r="P50" i="1"/>
  <c r="O51" i="1"/>
  <c r="P51" i="1"/>
  <c r="O52" i="1"/>
  <c r="P52" i="1"/>
  <c r="O53" i="1"/>
  <c r="P53" i="1"/>
  <c r="D112" i="8" l="1"/>
  <c r="C112" i="8"/>
  <c r="D126" i="8"/>
  <c r="C126" i="8"/>
  <c r="L104" i="8"/>
  <c r="K104" i="8"/>
  <c r="F81" i="8"/>
  <c r="W45" i="10"/>
  <c r="AA5" i="9"/>
  <c r="C100" i="8"/>
  <c r="J62" i="8"/>
  <c r="C109" i="8"/>
  <c r="J63" i="8"/>
  <c r="E155" i="8"/>
  <c r="G155" i="8"/>
  <c r="C155" i="8"/>
  <c r="C74" i="8"/>
  <c r="C81" i="8"/>
  <c r="Y31" i="1"/>
  <c r="H20" i="5"/>
  <c r="X31" i="1"/>
  <c r="G20" i="5"/>
  <c r="Y29" i="1"/>
  <c r="H18" i="5"/>
  <c r="Y28" i="1"/>
  <c r="H17" i="5"/>
  <c r="Y30" i="1"/>
  <c r="H19" i="5"/>
  <c r="X28" i="1"/>
  <c r="G17" i="5"/>
  <c r="X30" i="1"/>
  <c r="G19" i="5"/>
  <c r="H16" i="5"/>
  <c r="G16" i="5"/>
  <c r="X29" i="1"/>
  <c r="G18" i="5"/>
  <c r="D110" i="8"/>
  <c r="D109" i="8"/>
  <c r="K62" i="8"/>
  <c r="C110" i="8"/>
  <c r="D108" i="8"/>
  <c r="H14" i="8"/>
  <c r="H20" i="8" s="1"/>
  <c r="C108" i="8"/>
  <c r="D111" i="8"/>
  <c r="K64" i="8"/>
  <c r="C111" i="8"/>
  <c r="J61" i="8"/>
  <c r="K61" i="8"/>
  <c r="F14" i="8"/>
  <c r="AB72" i="1"/>
  <c r="AA72" i="1"/>
  <c r="R72" i="1"/>
  <c r="Q72" i="1"/>
  <c r="AB63" i="1"/>
  <c r="AA63" i="1"/>
  <c r="R63" i="1"/>
  <c r="Q63" i="1"/>
  <c r="AB54" i="1"/>
  <c r="AA54" i="1"/>
  <c r="R54" i="1"/>
  <c r="Q54" i="1"/>
  <c r="U71" i="1"/>
  <c r="T71" i="1"/>
  <c r="S71" i="1"/>
  <c r="P71" i="1"/>
  <c r="O71" i="1"/>
  <c r="V71" i="1" s="1"/>
  <c r="U70" i="1"/>
  <c r="T70" i="1"/>
  <c r="S70" i="1"/>
  <c r="P70" i="1"/>
  <c r="O70" i="1"/>
  <c r="V70" i="1" s="1"/>
  <c r="U69" i="1"/>
  <c r="T69" i="1"/>
  <c r="S69" i="1"/>
  <c r="P69" i="1"/>
  <c r="O69" i="1"/>
  <c r="V69" i="1" s="1"/>
  <c r="Y69" i="1" s="1"/>
  <c r="U68" i="1"/>
  <c r="T68" i="1"/>
  <c r="S68" i="1"/>
  <c r="P68" i="1"/>
  <c r="O68" i="1"/>
  <c r="V68" i="1" s="1"/>
  <c r="X68" i="1" s="1"/>
  <c r="U67" i="1"/>
  <c r="T67" i="1"/>
  <c r="S67" i="1"/>
  <c r="P67" i="1"/>
  <c r="O67" i="1"/>
  <c r="V67" i="1" s="1"/>
  <c r="Y67" i="1" s="1"/>
  <c r="U66" i="1"/>
  <c r="T66" i="1"/>
  <c r="S66" i="1"/>
  <c r="P66" i="1"/>
  <c r="O66" i="1"/>
  <c r="V66" i="1" s="1"/>
  <c r="X66" i="1" s="1"/>
  <c r="U65" i="1"/>
  <c r="T65" i="1"/>
  <c r="S65" i="1"/>
  <c r="P65" i="1"/>
  <c r="O65" i="1"/>
  <c r="V65" i="1" s="1"/>
  <c r="Y65" i="1" s="1"/>
  <c r="T62" i="1"/>
  <c r="U62" i="1"/>
  <c r="S62" i="1"/>
  <c r="P62" i="1"/>
  <c r="O62" i="1"/>
  <c r="V62" i="1" s="1"/>
  <c r="X62" i="1" s="1"/>
  <c r="T61" i="1"/>
  <c r="U61" i="1"/>
  <c r="S61" i="1"/>
  <c r="P61" i="1"/>
  <c r="O61" i="1"/>
  <c r="V61" i="1" s="1"/>
  <c r="Y61" i="1" s="1"/>
  <c r="T60" i="1"/>
  <c r="U60" i="1"/>
  <c r="S60" i="1"/>
  <c r="P60" i="1"/>
  <c r="O60" i="1"/>
  <c r="V60" i="1" s="1"/>
  <c r="X60" i="1" s="1"/>
  <c r="T59" i="1"/>
  <c r="U59" i="1"/>
  <c r="S59" i="1"/>
  <c r="P59" i="1"/>
  <c r="O59" i="1"/>
  <c r="V59" i="1" s="1"/>
  <c r="Y59" i="1" s="1"/>
  <c r="T58" i="1"/>
  <c r="U58" i="1"/>
  <c r="S58" i="1"/>
  <c r="P58" i="1"/>
  <c r="O58" i="1"/>
  <c r="T57" i="1"/>
  <c r="U57" i="1"/>
  <c r="S57" i="1"/>
  <c r="P57" i="1"/>
  <c r="O57" i="1"/>
  <c r="T56" i="1"/>
  <c r="U56" i="1"/>
  <c r="S56" i="1"/>
  <c r="P56" i="1"/>
  <c r="O56" i="1"/>
  <c r="T53" i="1"/>
  <c r="U53" i="1"/>
  <c r="S53" i="1"/>
  <c r="V53" i="1"/>
  <c r="Y53" i="1" s="1"/>
  <c r="T52" i="1"/>
  <c r="U52" i="1"/>
  <c r="S52" i="1"/>
  <c r="V52" i="1"/>
  <c r="X52" i="1" s="1"/>
  <c r="U43" i="1"/>
  <c r="U51" i="1"/>
  <c r="T51" i="1"/>
  <c r="S51" i="1"/>
  <c r="V51" i="1"/>
  <c r="Y51" i="1" s="1"/>
  <c r="U50" i="1"/>
  <c r="T50" i="1"/>
  <c r="S50" i="1"/>
  <c r="U49" i="1"/>
  <c r="T49" i="1"/>
  <c r="S49" i="1"/>
  <c r="U48" i="1"/>
  <c r="T48" i="1"/>
  <c r="S48" i="1"/>
  <c r="P44" i="1"/>
  <c r="Q44" i="1" s="1"/>
  <c r="P43" i="1"/>
  <c r="P35" i="1"/>
  <c r="P31" i="1"/>
  <c r="Q31" i="1" s="1"/>
  <c r="P30" i="1"/>
  <c r="Q30" i="1" s="1"/>
  <c r="P29" i="1"/>
  <c r="Q29" i="1" s="1"/>
  <c r="P28" i="1"/>
  <c r="Q28" i="1" s="1"/>
  <c r="O44" i="1"/>
  <c r="O43" i="1"/>
  <c r="O35" i="1"/>
  <c r="R35" i="1" s="1"/>
  <c r="O31" i="1"/>
  <c r="V31" i="1" s="1"/>
  <c r="W31" i="1" s="1"/>
  <c r="O30" i="1"/>
  <c r="V30" i="1" s="1"/>
  <c r="W30" i="1" s="1"/>
  <c r="O29" i="1"/>
  <c r="R29" i="1" s="1"/>
  <c r="O28" i="1"/>
  <c r="R28" i="1" s="1"/>
  <c r="V35" i="1"/>
  <c r="X35" i="1" s="1"/>
  <c r="Q35" i="1"/>
  <c r="Q43" i="1"/>
  <c r="U35" i="1"/>
  <c r="U44" i="1"/>
  <c r="T44" i="1"/>
  <c r="K71" i="13" s="1"/>
  <c r="G64" i="9" s="1"/>
  <c r="V44" i="1"/>
  <c r="X44" i="1" s="1"/>
  <c r="T43" i="1"/>
  <c r="K70" i="13" s="1"/>
  <c r="G63" i="9" s="1"/>
  <c r="V43" i="1"/>
  <c r="X43" i="1" s="1"/>
  <c r="T35" i="1"/>
  <c r="K62" i="13" s="1"/>
  <c r="G55" i="9" s="1"/>
  <c r="H119" i="8" l="1"/>
  <c r="F119" i="8"/>
  <c r="D119" i="8"/>
  <c r="C119" i="8"/>
  <c r="G119" i="8"/>
  <c r="E119" i="8"/>
  <c r="F82" i="8"/>
  <c r="F86" i="8" s="1"/>
  <c r="C82" i="8"/>
  <c r="C86" i="8" s="1"/>
  <c r="C104" i="8" s="1"/>
  <c r="G26" i="5"/>
  <c r="H33" i="5"/>
  <c r="H35" i="5"/>
  <c r="H41" i="5"/>
  <c r="G42" i="5"/>
  <c r="H43" i="5"/>
  <c r="G44" i="5"/>
  <c r="G48" i="5"/>
  <c r="H49" i="5"/>
  <c r="H51" i="5"/>
  <c r="H26" i="5"/>
  <c r="G34" i="5"/>
  <c r="G50" i="5"/>
  <c r="H25" i="5"/>
  <c r="G25" i="5"/>
  <c r="G24" i="5"/>
  <c r="H24" i="5"/>
  <c r="H22" i="8"/>
  <c r="F20" i="8"/>
  <c r="F22" i="8"/>
  <c r="H47" i="5"/>
  <c r="R31" i="1"/>
  <c r="R30" i="1"/>
  <c r="Q45" i="1"/>
  <c r="P72" i="1"/>
  <c r="T72" i="1"/>
  <c r="D64" i="2" s="1"/>
  <c r="O63" i="1"/>
  <c r="S63" i="1"/>
  <c r="C63" i="2" s="1"/>
  <c r="T63" i="1"/>
  <c r="P63" i="1"/>
  <c r="U63" i="1"/>
  <c r="E63" i="2" s="1"/>
  <c r="S72" i="1"/>
  <c r="C64" i="2" s="1"/>
  <c r="U72" i="1"/>
  <c r="E64" i="2" s="1"/>
  <c r="O72" i="1"/>
  <c r="Z72" i="1" s="1"/>
  <c r="V72" i="1"/>
  <c r="F64" i="2" s="1"/>
  <c r="Y71" i="1"/>
  <c r="H53" i="5" s="1"/>
  <c r="W71" i="1"/>
  <c r="X71" i="1"/>
  <c r="G53" i="5" s="1"/>
  <c r="X70" i="1"/>
  <c r="G52" i="5" s="1"/>
  <c r="Y70" i="1"/>
  <c r="H52" i="5" s="1"/>
  <c r="W70" i="1"/>
  <c r="X51" i="1"/>
  <c r="W52" i="1"/>
  <c r="Y52" i="1"/>
  <c r="X53" i="1"/>
  <c r="X59" i="1"/>
  <c r="W60" i="1"/>
  <c r="Y60" i="1"/>
  <c r="X61" i="1"/>
  <c r="W62" i="1"/>
  <c r="Y62" i="1"/>
  <c r="X67" i="1"/>
  <c r="W68" i="1"/>
  <c r="Y68" i="1"/>
  <c r="H50" i="5" s="1"/>
  <c r="X69" i="1"/>
  <c r="W51" i="1"/>
  <c r="W53" i="1"/>
  <c r="W59" i="1"/>
  <c r="W61" i="1"/>
  <c r="W67" i="1"/>
  <c r="W69" i="1"/>
  <c r="W66" i="1"/>
  <c r="Y66" i="1"/>
  <c r="X65" i="1"/>
  <c r="W65" i="1"/>
  <c r="V49" i="1"/>
  <c r="V57" i="1"/>
  <c r="V48" i="1"/>
  <c r="V50" i="1"/>
  <c r="V56" i="1"/>
  <c r="V58" i="1"/>
  <c r="W44" i="1"/>
  <c r="Y43" i="1"/>
  <c r="W35" i="1"/>
  <c r="Y35" i="1"/>
  <c r="Y44" i="1"/>
  <c r="W43" i="1"/>
  <c r="R44" i="1"/>
  <c r="R43" i="1"/>
  <c r="P45" i="1"/>
  <c r="F85" i="8" l="1"/>
  <c r="F84" i="8"/>
  <c r="D118" i="8"/>
  <c r="C118" i="8"/>
  <c r="G100" i="8"/>
  <c r="G104" i="8" s="1"/>
  <c r="H104" i="8" s="1"/>
  <c r="E100" i="8"/>
  <c r="C84" i="8"/>
  <c r="C101" i="8" s="1"/>
  <c r="C85" i="8"/>
  <c r="C102" i="8" s="1"/>
  <c r="K102" i="8" s="1"/>
  <c r="C103" i="8"/>
  <c r="K103" i="8" s="1"/>
  <c r="G51" i="5"/>
  <c r="G49" i="5"/>
  <c r="H48" i="5"/>
  <c r="H44" i="5"/>
  <c r="G43" i="5"/>
  <c r="H42" i="5"/>
  <c r="G41" i="5"/>
  <c r="G35" i="5"/>
  <c r="G33" i="5"/>
  <c r="H34" i="5"/>
  <c r="Z63" i="1"/>
  <c r="G47" i="5"/>
  <c r="C97" i="2"/>
  <c r="I63" i="2"/>
  <c r="D63" i="2"/>
  <c r="H63" i="2" s="1"/>
  <c r="G63" i="2"/>
  <c r="H64" i="2"/>
  <c r="I64" i="2"/>
  <c r="G64" i="2"/>
  <c r="K64" i="2" s="1"/>
  <c r="X72" i="1"/>
  <c r="Y72" i="1"/>
  <c r="V63" i="1"/>
  <c r="F63" i="2" s="1"/>
  <c r="W72" i="1"/>
  <c r="X56" i="1"/>
  <c r="Y56" i="1"/>
  <c r="W56" i="1"/>
  <c r="Y48" i="1"/>
  <c r="W48" i="1"/>
  <c r="X48" i="1"/>
  <c r="X58" i="1"/>
  <c r="Y58" i="1"/>
  <c r="W58" i="1"/>
  <c r="X50" i="1"/>
  <c r="Y50" i="1"/>
  <c r="W50" i="1"/>
  <c r="Y57" i="1"/>
  <c r="W57" i="1"/>
  <c r="X57" i="1"/>
  <c r="Y49" i="1"/>
  <c r="X49" i="1"/>
  <c r="W49" i="1"/>
  <c r="R45" i="1"/>
  <c r="V29" i="1"/>
  <c r="W29" i="1" s="1"/>
  <c r="V28" i="1"/>
  <c r="W28" i="1" s="1"/>
  <c r="S45" i="1"/>
  <c r="K101" i="8" l="1"/>
  <c r="L106" i="8" s="1"/>
  <c r="D101" i="8"/>
  <c r="C152" i="8" s="1"/>
  <c r="K106" i="8"/>
  <c r="D117" i="8"/>
  <c r="C117" i="8"/>
  <c r="C154" i="8"/>
  <c r="D115" i="8"/>
  <c r="C115" i="8"/>
  <c r="H118" i="8"/>
  <c r="G118" i="8"/>
  <c r="D116" i="8"/>
  <c r="C116" i="8"/>
  <c r="E103" i="8"/>
  <c r="E154" i="8"/>
  <c r="E104" i="8"/>
  <c r="F104" i="8" s="1"/>
  <c r="G101" i="8"/>
  <c r="G103" i="8"/>
  <c r="G154" i="8"/>
  <c r="C153" i="8"/>
  <c r="E101" i="8"/>
  <c r="C151" i="8"/>
  <c r="E102" i="8"/>
  <c r="G102" i="8"/>
  <c r="H31" i="5"/>
  <c r="G32" i="5"/>
  <c r="H40" i="5"/>
  <c r="G31" i="5"/>
  <c r="G39" i="5"/>
  <c r="H39" i="5"/>
  <c r="H32" i="5"/>
  <c r="G40" i="5"/>
  <c r="K63" i="2"/>
  <c r="G30" i="5"/>
  <c r="H30" i="5"/>
  <c r="G38" i="5"/>
  <c r="H38" i="5"/>
  <c r="J63" i="2"/>
  <c r="J64" i="2"/>
  <c r="C61" i="2"/>
  <c r="D110" i="2"/>
  <c r="C110" i="2"/>
  <c r="C111" i="2"/>
  <c r="D111" i="2"/>
  <c r="C98" i="2"/>
  <c r="W63" i="1"/>
  <c r="X63" i="1"/>
  <c r="Y63" i="1"/>
  <c r="T45" i="1"/>
  <c r="U45" i="1"/>
  <c r="E61" i="2" s="1"/>
  <c r="O45" i="1"/>
  <c r="M102" i="8" l="1"/>
  <c r="H102" i="8"/>
  <c r="L102" i="8"/>
  <c r="F102" i="8"/>
  <c r="L101" i="8"/>
  <c r="F101" i="8"/>
  <c r="M103" i="8"/>
  <c r="H103" i="8"/>
  <c r="L103" i="8"/>
  <c r="F103" i="8"/>
  <c r="M101" i="8"/>
  <c r="K108" i="8" s="1"/>
  <c r="H101" i="8"/>
  <c r="L100" i="2"/>
  <c r="M100" i="2"/>
  <c r="K100" i="2"/>
  <c r="F116" i="8"/>
  <c r="E116" i="8"/>
  <c r="H115" i="8"/>
  <c r="G115" i="8"/>
  <c r="H116" i="8"/>
  <c r="G116" i="8"/>
  <c r="H117" i="8"/>
  <c r="G117" i="8"/>
  <c r="E118" i="8"/>
  <c r="F118" i="8"/>
  <c r="F117" i="8"/>
  <c r="E117" i="8"/>
  <c r="D120" i="8"/>
  <c r="N106" i="8" s="1"/>
  <c r="F115" i="8"/>
  <c r="E115" i="8"/>
  <c r="C120" i="8"/>
  <c r="M106" i="8" s="1"/>
  <c r="G153" i="8"/>
  <c r="K6" i="9"/>
  <c r="E27" i="14" s="1"/>
  <c r="C156" i="8"/>
  <c r="D155" i="8" s="1"/>
  <c r="G152" i="8"/>
  <c r="G151" i="8"/>
  <c r="E153" i="8"/>
  <c r="E151" i="8"/>
  <c r="E152" i="8"/>
  <c r="J6" i="9"/>
  <c r="E26" i="14" s="1"/>
  <c r="Z45" i="1"/>
  <c r="G61" i="2"/>
  <c r="D61" i="2"/>
  <c r="H61" i="2" s="1"/>
  <c r="I61" i="2"/>
  <c r="AA45" i="1"/>
  <c r="AB45" i="1"/>
  <c r="W45" i="1"/>
  <c r="Y45" i="1"/>
  <c r="V45" i="1"/>
  <c r="X45" i="1"/>
  <c r="L107" i="8" l="1"/>
  <c r="L108" i="8"/>
  <c r="K107" i="8"/>
  <c r="K109" i="8" s="1"/>
  <c r="E155" i="2"/>
  <c r="C112" i="2"/>
  <c r="D112" i="2"/>
  <c r="E120" i="8"/>
  <c r="D122" i="8"/>
  <c r="D147" i="8" s="1"/>
  <c r="D123" i="8"/>
  <c r="D124" i="8" s="1"/>
  <c r="C7" i="9" s="1"/>
  <c r="D153" i="8"/>
  <c r="C122" i="8"/>
  <c r="C147" i="8" s="1"/>
  <c r="C123" i="8"/>
  <c r="C124" i="8" s="1"/>
  <c r="AA8" i="9" s="1"/>
  <c r="F120" i="8"/>
  <c r="N107" i="8" s="1"/>
  <c r="G120" i="8"/>
  <c r="M108" i="8" s="1"/>
  <c r="E122" i="8"/>
  <c r="H120" i="8"/>
  <c r="N108" i="8" s="1"/>
  <c r="D154" i="8"/>
  <c r="C170" i="8"/>
  <c r="C173" i="8" s="1"/>
  <c r="D152" i="8"/>
  <c r="C159" i="8"/>
  <c r="C160" i="8" s="1"/>
  <c r="C165" i="8" s="1"/>
  <c r="D151" i="8"/>
  <c r="G156" i="8"/>
  <c r="H152" i="8" s="1"/>
  <c r="E156" i="8"/>
  <c r="F152" i="8" s="1"/>
  <c r="G155" i="2"/>
  <c r="C155" i="2"/>
  <c r="F61" i="2"/>
  <c r="J61" i="2"/>
  <c r="K61" i="2"/>
  <c r="C92" i="2"/>
  <c r="L109" i="8" l="1"/>
  <c r="E9" i="9"/>
  <c r="E11" i="9"/>
  <c r="E12" i="9"/>
  <c r="F29" i="14"/>
  <c r="H119" i="2"/>
  <c r="F119" i="2"/>
  <c r="D119" i="2"/>
  <c r="G119" i="2"/>
  <c r="E119" i="2"/>
  <c r="C119" i="2"/>
  <c r="N109" i="8"/>
  <c r="E123" i="8"/>
  <c r="E124" i="8" s="1"/>
  <c r="M107" i="8"/>
  <c r="H122" i="8"/>
  <c r="H147" i="8" s="1"/>
  <c r="H123" i="8"/>
  <c r="H124" i="8" s="1"/>
  <c r="F122" i="8"/>
  <c r="F147" i="8" s="1"/>
  <c r="F123" i="8"/>
  <c r="F124" i="8" s="1"/>
  <c r="G122" i="8"/>
  <c r="G147" i="8" s="1"/>
  <c r="G123" i="8"/>
  <c r="G124" i="8" s="1"/>
  <c r="J150" i="8"/>
  <c r="J153" i="8" s="1"/>
  <c r="D156" i="8"/>
  <c r="H154" i="8"/>
  <c r="G159" i="8"/>
  <c r="G160" i="8" s="1"/>
  <c r="G164" i="8" s="1"/>
  <c r="C172" i="8"/>
  <c r="C162" i="8"/>
  <c r="C174" i="8"/>
  <c r="C164" i="8"/>
  <c r="C171" i="8"/>
  <c r="H151" i="8"/>
  <c r="H153" i="8"/>
  <c r="C161" i="8"/>
  <c r="C163" i="8"/>
  <c r="H155" i="8"/>
  <c r="G170" i="8"/>
  <c r="G173" i="8" s="1"/>
  <c r="F153" i="8"/>
  <c r="E170" i="8"/>
  <c r="E174" i="8" s="1"/>
  <c r="F151" i="8"/>
  <c r="F155" i="8"/>
  <c r="E159" i="8"/>
  <c r="E160" i="8" s="1"/>
  <c r="E164" i="8" s="1"/>
  <c r="F154" i="8"/>
  <c r="E147" i="8"/>
  <c r="C131" i="2"/>
  <c r="C10" i="9" l="1"/>
  <c r="F20" i="14"/>
  <c r="M109" i="8"/>
  <c r="C148" i="8"/>
  <c r="J154" i="8"/>
  <c r="F21" i="14" s="1"/>
  <c r="J152" i="8"/>
  <c r="F19" i="14" s="1"/>
  <c r="J151" i="8"/>
  <c r="F18" i="14" s="1"/>
  <c r="C167" i="8"/>
  <c r="C178" i="8" s="1"/>
  <c r="C175" i="8"/>
  <c r="G163" i="8"/>
  <c r="D148" i="8"/>
  <c r="G172" i="8"/>
  <c r="G162" i="8"/>
  <c r="G161" i="8"/>
  <c r="G165" i="8"/>
  <c r="C166" i="8"/>
  <c r="E171" i="8"/>
  <c r="G171" i="8"/>
  <c r="H156" i="8"/>
  <c r="G174" i="8"/>
  <c r="E172" i="8"/>
  <c r="E163" i="8"/>
  <c r="E173" i="8"/>
  <c r="E162" i="8"/>
  <c r="E161" i="8"/>
  <c r="E165" i="8"/>
  <c r="F156" i="8"/>
  <c r="E32" i="14" l="1"/>
  <c r="H10" i="9"/>
  <c r="E10" i="9"/>
  <c r="E167" i="8"/>
  <c r="E178" i="8" s="1"/>
  <c r="C185" i="8"/>
  <c r="G167" i="8"/>
  <c r="G178" i="8" s="1"/>
  <c r="G175" i="8"/>
  <c r="G166" i="8"/>
  <c r="G186" i="8" s="1"/>
  <c r="C186" i="8"/>
  <c r="C168" i="8"/>
  <c r="C180" i="8" s="1"/>
  <c r="C188" i="8"/>
  <c r="C187" i="8"/>
  <c r="E175" i="8"/>
  <c r="E166" i="8"/>
  <c r="C133" i="2"/>
  <c r="C129" i="2"/>
  <c r="G185" i="8" l="1"/>
  <c r="G168" i="8"/>
  <c r="G181" i="8" s="1"/>
  <c r="E185" i="8"/>
  <c r="G188" i="8"/>
  <c r="G187" i="8"/>
  <c r="C181" i="8"/>
  <c r="C182" i="8"/>
  <c r="C179" i="8"/>
  <c r="E168" i="8"/>
  <c r="E180" i="8" s="1"/>
  <c r="E188" i="8"/>
  <c r="E186" i="8"/>
  <c r="E187" i="8"/>
  <c r="B71" i="2"/>
  <c r="H11" i="2"/>
  <c r="F11" i="2"/>
  <c r="D11" i="2"/>
  <c r="H10" i="2"/>
  <c r="F10" i="2"/>
  <c r="D10" i="2"/>
  <c r="K10" i="2" s="1"/>
  <c r="G180" i="8" l="1"/>
  <c r="G182" i="8"/>
  <c r="G179" i="8"/>
  <c r="E181" i="8"/>
  <c r="E182" i="8"/>
  <c r="E179" i="8"/>
  <c r="C91" i="2"/>
  <c r="C93" i="2" l="1"/>
  <c r="C94" i="2" l="1"/>
  <c r="C95" i="2" s="1"/>
  <c r="G13" i="4"/>
  <c r="G12" i="4"/>
  <c r="G11" i="4"/>
  <c r="G10" i="4"/>
  <c r="G9" i="4"/>
  <c r="G8" i="4"/>
  <c r="G7" i="4"/>
  <c r="G6" i="4"/>
  <c r="G5" i="4"/>
  <c r="G4" i="4"/>
  <c r="G3" i="4"/>
  <c r="E13" i="4"/>
  <c r="E12" i="4"/>
  <c r="E11" i="4"/>
  <c r="E10" i="4"/>
  <c r="E9" i="4"/>
  <c r="E8" i="4"/>
  <c r="E7" i="4"/>
  <c r="E6" i="4"/>
  <c r="E5" i="4"/>
  <c r="E4" i="4"/>
  <c r="E3" i="4"/>
  <c r="C37" i="2" l="1"/>
  <c r="C77" i="2" l="1"/>
  <c r="C78" i="2" s="1"/>
  <c r="G52" i="2"/>
  <c r="H52" i="2"/>
  <c r="C31" i="2"/>
  <c r="C30" i="2"/>
  <c r="C29" i="2"/>
  <c r="H53" i="2" s="1"/>
  <c r="H18" i="2"/>
  <c r="G158" i="2" s="1"/>
  <c r="F18" i="2"/>
  <c r="E158" i="2" s="1"/>
  <c r="D18" i="2"/>
  <c r="H17" i="2"/>
  <c r="G157" i="2" s="1"/>
  <c r="F17" i="2"/>
  <c r="E157" i="2" s="1"/>
  <c r="C17" i="2"/>
  <c r="D17" i="2" s="1"/>
  <c r="G13" i="2"/>
  <c r="H13" i="2" s="1"/>
  <c r="E13" i="2"/>
  <c r="F13" i="2" s="1"/>
  <c r="C13" i="2"/>
  <c r="D13" i="2" s="1"/>
  <c r="K13" i="2" s="1"/>
  <c r="G6" i="2"/>
  <c r="H6" i="2" s="1"/>
  <c r="E6" i="2"/>
  <c r="F6" i="2" s="1"/>
  <c r="C6" i="2"/>
  <c r="D6" i="2" s="1"/>
  <c r="K6" i="2" s="1"/>
  <c r="H5" i="2"/>
  <c r="F5" i="2"/>
  <c r="D5" i="2"/>
  <c r="K5" i="2" s="1"/>
  <c r="C157" i="2" l="1"/>
  <c r="K17" i="2"/>
  <c r="C158" i="2"/>
  <c r="K18" i="2"/>
  <c r="F80" i="2"/>
  <c r="C80" i="2"/>
  <c r="H55" i="2"/>
  <c r="E56" i="2"/>
  <c r="D45" i="2"/>
  <c r="C45" i="2"/>
  <c r="C48" i="2"/>
  <c r="D47" i="2"/>
  <c r="E48" i="2"/>
  <c r="E46" i="2"/>
  <c r="F45" i="2"/>
  <c r="F47" i="2"/>
  <c r="G48" i="2"/>
  <c r="H47" i="2"/>
  <c r="H45" i="2"/>
  <c r="G46" i="2"/>
  <c r="C53" i="2"/>
  <c r="E53" i="2"/>
  <c r="G53" i="2"/>
  <c r="D54" i="2"/>
  <c r="E54" i="2"/>
  <c r="G54" i="2"/>
  <c r="C55" i="2"/>
  <c r="C56" i="2"/>
  <c r="E55" i="2"/>
  <c r="G55" i="2"/>
  <c r="H56" i="2"/>
  <c r="F56" i="2"/>
  <c r="D46" i="2"/>
  <c r="C46" i="2"/>
  <c r="D48" i="2"/>
  <c r="C47" i="2"/>
  <c r="E47" i="2"/>
  <c r="E45" i="2"/>
  <c r="F46" i="2"/>
  <c r="F48" i="2"/>
  <c r="H48" i="2"/>
  <c r="H46" i="2"/>
  <c r="G45" i="2"/>
  <c r="G47" i="2"/>
  <c r="D53" i="2"/>
  <c r="F53" i="2"/>
  <c r="C54" i="2"/>
  <c r="F54" i="2"/>
  <c r="H54" i="2"/>
  <c r="D55" i="2"/>
  <c r="D56" i="2"/>
  <c r="F55" i="2"/>
  <c r="G56" i="2"/>
  <c r="F19" i="2"/>
  <c r="E52" i="2"/>
  <c r="F52" i="2"/>
  <c r="D19" i="2"/>
  <c r="K19" i="2" s="1"/>
  <c r="H19" i="2"/>
  <c r="D14" i="2"/>
  <c r="K14" i="2" s="1"/>
  <c r="D15" i="2"/>
  <c r="K15" i="2" s="1"/>
  <c r="E7" i="2"/>
  <c r="G7" i="2"/>
  <c r="H57" i="2" l="1"/>
  <c r="H121" i="2" s="1"/>
  <c r="H7" i="2"/>
  <c r="H15" i="2" s="1"/>
  <c r="F7" i="2"/>
  <c r="F14" i="2" s="1"/>
  <c r="F22" i="2" s="1"/>
  <c r="E100" i="2" s="1"/>
  <c r="E57" i="2"/>
  <c r="E121" i="2" s="1"/>
  <c r="F57" i="2"/>
  <c r="F121" i="2" s="1"/>
  <c r="G57" i="2"/>
  <c r="G121" i="2" s="1"/>
  <c r="D57" i="2"/>
  <c r="D121" i="2" s="1"/>
  <c r="C57" i="2"/>
  <c r="C121" i="2" s="1"/>
  <c r="D20" i="2"/>
  <c r="K20" i="2" s="1"/>
  <c r="D22" i="2"/>
  <c r="F15" i="2"/>
  <c r="C100" i="2" l="1"/>
  <c r="K22" i="2"/>
  <c r="H14" i="2"/>
  <c r="H22" i="2" s="1"/>
  <c r="F20" i="2"/>
  <c r="C126" i="2"/>
  <c r="D126" i="2"/>
  <c r="H20" i="2"/>
  <c r="G100" i="2" l="1"/>
  <c r="C142" i="2" l="1"/>
  <c r="C144" i="2" s="1"/>
  <c r="P47" i="1" l="1"/>
  <c r="P54" i="1" s="1"/>
  <c r="O47" i="1"/>
  <c r="O54" i="1" s="1"/>
  <c r="T47" i="1"/>
  <c r="S47" i="1"/>
  <c r="S54" i="1" s="1"/>
  <c r="U47" i="1"/>
  <c r="Z54" i="1" l="1"/>
  <c r="U54" i="1"/>
  <c r="E62" i="2" s="1"/>
  <c r="I62" i="2" s="1"/>
  <c r="T54" i="1"/>
  <c r="D62" i="2" s="1"/>
  <c r="H62" i="2" s="1"/>
  <c r="C62" i="2"/>
  <c r="V47" i="1"/>
  <c r="X47" i="1" s="1"/>
  <c r="G29" i="5" s="1"/>
  <c r="C149" i="2" l="1"/>
  <c r="E73" i="2"/>
  <c r="E74" i="2" s="1"/>
  <c r="F77" i="2"/>
  <c r="F78" i="2" s="1"/>
  <c r="G62" i="2"/>
  <c r="C109" i="2" s="1"/>
  <c r="C73" i="2"/>
  <c r="X54" i="1"/>
  <c r="J62" i="2"/>
  <c r="V54" i="1"/>
  <c r="F62" i="2" s="1"/>
  <c r="Y47" i="1"/>
  <c r="W47" i="1"/>
  <c r="W54" i="1" s="1"/>
  <c r="F7" i="9" l="1"/>
  <c r="F23" i="14" s="1"/>
  <c r="H7" i="9"/>
  <c r="F25" i="14" s="1"/>
  <c r="G7" i="9"/>
  <c r="F24" i="14" s="1"/>
  <c r="C108" i="2"/>
  <c r="C74" i="2"/>
  <c r="C81" i="2"/>
  <c r="F81" i="2"/>
  <c r="F82" i="2" s="1"/>
  <c r="F86" i="2" s="1"/>
  <c r="D109" i="2"/>
  <c r="K62" i="2"/>
  <c r="D108" i="2"/>
  <c r="Y54" i="1"/>
  <c r="H29" i="5"/>
  <c r="C82" i="2" l="1"/>
  <c r="C84" i="2" s="1"/>
  <c r="E101" i="2" s="1"/>
  <c r="L101" i="2" s="1"/>
  <c r="F85" i="2"/>
  <c r="F84" i="2"/>
  <c r="C85" i="2"/>
  <c r="G102" i="2" s="1"/>
  <c r="M102" i="2" s="1"/>
  <c r="E115" i="2" l="1"/>
  <c r="H116" i="2"/>
  <c r="G116" i="2"/>
  <c r="F115" i="2"/>
  <c r="C101" i="2"/>
  <c r="K101" i="2" s="1"/>
  <c r="G101" i="2"/>
  <c r="M101" i="2" s="1"/>
  <c r="C86" i="2"/>
  <c r="E104" i="2" s="1"/>
  <c r="L104" i="2" s="1"/>
  <c r="E151" i="2"/>
  <c r="E102" i="2"/>
  <c r="L102" i="2" s="1"/>
  <c r="C102" i="2"/>
  <c r="K102" i="2" s="1"/>
  <c r="F116" i="2" l="1"/>
  <c r="E116" i="2"/>
  <c r="F118" i="2"/>
  <c r="E118" i="2"/>
  <c r="D115" i="2"/>
  <c r="C115" i="2"/>
  <c r="D116" i="2"/>
  <c r="C116" i="2"/>
  <c r="H115" i="2"/>
  <c r="G115" i="2"/>
  <c r="G151" i="2"/>
  <c r="G104" i="2"/>
  <c r="M104" i="2" s="1"/>
  <c r="C104" i="2"/>
  <c r="K104" i="2" s="1"/>
  <c r="C103" i="2"/>
  <c r="K103" i="2" s="1"/>
  <c r="G103" i="2"/>
  <c r="E103" i="2"/>
  <c r="E152" i="2"/>
  <c r="E154" i="2"/>
  <c r="G154" i="2"/>
  <c r="C153" i="2"/>
  <c r="G152" i="2"/>
  <c r="C154" i="2"/>
  <c r="C152" i="2"/>
  <c r="C151" i="2"/>
  <c r="M103" i="2" l="1"/>
  <c r="K108" i="2" s="1"/>
  <c r="L103" i="2"/>
  <c r="K107" i="2" s="1"/>
  <c r="L106" i="2"/>
  <c r="K106" i="2"/>
  <c r="D118" i="2"/>
  <c r="C118" i="2"/>
  <c r="F117" i="2"/>
  <c r="F120" i="2" s="1"/>
  <c r="E117" i="2"/>
  <c r="D117" i="2"/>
  <c r="C117" i="2"/>
  <c r="H118" i="2"/>
  <c r="G118" i="2"/>
  <c r="G153" i="2"/>
  <c r="G156" i="2" s="1"/>
  <c r="H117" i="2"/>
  <c r="G117" i="2"/>
  <c r="E120" i="2"/>
  <c r="M107" i="2" s="1"/>
  <c r="E153" i="2"/>
  <c r="E156" i="2" s="1"/>
  <c r="C156" i="2"/>
  <c r="D120" i="2" l="1"/>
  <c r="N106" i="2" s="1"/>
  <c r="L108" i="2"/>
  <c r="G120" i="2"/>
  <c r="M108" i="2" s="1"/>
  <c r="H120" i="2"/>
  <c r="N108" i="2" s="1"/>
  <c r="N107" i="2"/>
  <c r="L107" i="2"/>
  <c r="L109" i="2" s="1"/>
  <c r="C120" i="2"/>
  <c r="M106" i="2" s="1"/>
  <c r="F122" i="2"/>
  <c r="F147" i="2" s="1"/>
  <c r="F123" i="2"/>
  <c r="F124" i="2" s="1"/>
  <c r="E122" i="2"/>
  <c r="E147" i="2" s="1"/>
  <c r="E123" i="2"/>
  <c r="E124" i="2" s="1"/>
  <c r="E170" i="2"/>
  <c r="E171" i="2" s="1"/>
  <c r="E159" i="2"/>
  <c r="E160" i="2" s="1"/>
  <c r="E164" i="2" s="1"/>
  <c r="C170" i="2"/>
  <c r="C171" i="2" s="1"/>
  <c r="J156" i="2"/>
  <c r="F153" i="2"/>
  <c r="F152" i="2"/>
  <c r="F155" i="2"/>
  <c r="F151" i="2"/>
  <c r="F154" i="2"/>
  <c r="C159" i="2"/>
  <c r="C160" i="2" s="1"/>
  <c r="D151" i="2"/>
  <c r="D153" i="2"/>
  <c r="D152" i="2"/>
  <c r="D155" i="2"/>
  <c r="D154" i="2"/>
  <c r="G159" i="2"/>
  <c r="G160" i="2" s="1"/>
  <c r="H155" i="2"/>
  <c r="G170" i="2"/>
  <c r="H154" i="2"/>
  <c r="H153" i="2"/>
  <c r="H151" i="2"/>
  <c r="H152" i="2"/>
  <c r="M109" i="2" l="1"/>
  <c r="H6" i="9" s="1"/>
  <c r="E25" i="14" s="1"/>
  <c r="G123" i="2"/>
  <c r="G124" i="2" s="1"/>
  <c r="D123" i="2"/>
  <c r="D124" i="2" s="1"/>
  <c r="C6" i="9" s="1"/>
  <c r="E29" i="14" s="1"/>
  <c r="G122" i="2"/>
  <c r="G147" i="2" s="1"/>
  <c r="D122" i="2"/>
  <c r="D147" i="2" s="1"/>
  <c r="H123" i="2"/>
  <c r="H124" i="2" s="1"/>
  <c r="H122" i="2"/>
  <c r="H147" i="2" s="1"/>
  <c r="C123" i="2"/>
  <c r="C124" i="2" s="1"/>
  <c r="C122" i="2"/>
  <c r="C147" i="2" s="1"/>
  <c r="K109" i="2"/>
  <c r="N109" i="2"/>
  <c r="G6" i="9" s="1"/>
  <c r="E24" i="14" s="1"/>
  <c r="J154" i="2"/>
  <c r="E21" i="14" s="1"/>
  <c r="J151" i="2"/>
  <c r="E18" i="14" s="1"/>
  <c r="J152" i="2"/>
  <c r="E19" i="14" s="1"/>
  <c r="J153" i="2"/>
  <c r="E20" i="14" s="1"/>
  <c r="E173" i="2"/>
  <c r="C174" i="2"/>
  <c r="E172" i="2"/>
  <c r="E174" i="2"/>
  <c r="F6" i="9"/>
  <c r="E23" i="14" s="1"/>
  <c r="C172" i="2"/>
  <c r="C173" i="2"/>
  <c r="F156" i="2"/>
  <c r="E163" i="2"/>
  <c r="E161" i="2"/>
  <c r="E167" i="2" s="1"/>
  <c r="E178" i="2" s="1"/>
  <c r="C165" i="2"/>
  <c r="C164" i="2"/>
  <c r="C161" i="2"/>
  <c r="C167" i="2" s="1"/>
  <c r="C178" i="2" s="1"/>
  <c r="C163" i="2"/>
  <c r="E165" i="2"/>
  <c r="C162" i="2"/>
  <c r="E162" i="2"/>
  <c r="D156" i="2"/>
  <c r="H156" i="2"/>
  <c r="G173" i="2"/>
  <c r="G174" i="2"/>
  <c r="G172" i="2"/>
  <c r="G171" i="2"/>
  <c r="G164" i="2"/>
  <c r="G165" i="2"/>
  <c r="G161" i="2"/>
  <c r="G162" i="2"/>
  <c r="G163" i="2"/>
  <c r="D148" i="2" l="1"/>
  <c r="C148" i="2"/>
  <c r="E175" i="2"/>
  <c r="C175" i="2"/>
  <c r="E166" i="2"/>
  <c r="E185" i="2" s="1"/>
  <c r="C166" i="2"/>
  <c r="C168" i="2" s="1"/>
  <c r="C180" i="2" s="1"/>
  <c r="G167" i="2"/>
  <c r="G166" i="2"/>
  <c r="G186" i="2" s="1"/>
  <c r="G175" i="2"/>
  <c r="E187" i="2" l="1"/>
  <c r="E168" i="2"/>
  <c r="E179" i="2" s="1"/>
  <c r="E188" i="2"/>
  <c r="E186" i="2"/>
  <c r="C185" i="2"/>
  <c r="C186" i="2"/>
  <c r="C179" i="2"/>
  <c r="C182" i="2"/>
  <c r="C181" i="2"/>
  <c r="C187" i="2"/>
  <c r="C188" i="2"/>
  <c r="G187" i="2"/>
  <c r="G188" i="2"/>
  <c r="G185" i="2"/>
  <c r="G168" i="2"/>
  <c r="G178" i="2"/>
  <c r="E182" i="2" l="1"/>
  <c r="E180" i="2"/>
  <c r="E181" i="2"/>
  <c r="G180" i="2"/>
  <c r="G181" i="2"/>
  <c r="G179" i="2"/>
  <c r="G182" i="2"/>
</calcChain>
</file>

<file path=xl/sharedStrings.xml><?xml version="1.0" encoding="utf-8"?>
<sst xmlns="http://schemas.openxmlformats.org/spreadsheetml/2006/main" count="1007" uniqueCount="332">
  <si>
    <t>Jongvee &lt; 1 jr</t>
  </si>
  <si>
    <t>maanden</t>
  </si>
  <si>
    <t>VEM</t>
  </si>
  <si>
    <t>P</t>
  </si>
  <si>
    <t>Ras</t>
  </si>
  <si>
    <t>% Grote Rassen</t>
  </si>
  <si>
    <t>Jongvee &gt; 1 jr</t>
  </si>
  <si>
    <t>Onderhoud Lactatie (kVEM/307 dgn)</t>
  </si>
  <si>
    <t>/dier</t>
  </si>
  <si>
    <t>veestapel</t>
  </si>
  <si>
    <t>Grote Rassen</t>
  </si>
  <si>
    <t>Kruisling</t>
  </si>
  <si>
    <t>Jersey</t>
  </si>
  <si>
    <t>Onderhoud Droogstand (kVEM/58 dgn)</t>
  </si>
  <si>
    <t xml:space="preserve">Melkproductie (kVEM/307 dgn) </t>
  </si>
  <si>
    <t>Toeslag dracht + NEB (kVEM/jaar)</t>
  </si>
  <si>
    <t>Toeslag beweging (kVEM/jaar)</t>
  </si>
  <si>
    <t>Toeslag beweging weidegang beperkt weiden (kVEM/maand)</t>
  </si>
  <si>
    <t>Toeslag beweging weidegang onbeperkt weiden (kVEM/maand)</t>
  </si>
  <si>
    <t>Jongvee &lt; 1 jaar (kVEM/jaar)</t>
  </si>
  <si>
    <t>Jongvee &gt; 1 jaar (kVEM/jaar)</t>
  </si>
  <si>
    <t>VEM behoefte Melkvee</t>
  </si>
  <si>
    <t>VEM behoefte Jongvee (grote rassen)</t>
  </si>
  <si>
    <t>Totaal VEM behoefte jongvee</t>
  </si>
  <si>
    <t>Totaal VEM behoefte Veestapel</t>
  </si>
  <si>
    <t>Totaal VEM behoefte Veestapel * 1,02</t>
  </si>
  <si>
    <t>Onbeperkt weiden</t>
  </si>
  <si>
    <t>Vervangingspercentage</t>
  </si>
  <si>
    <t>Geboren kalveren/melkkoe/jaar</t>
  </si>
  <si>
    <t>Geboren kalveren uit jongvee</t>
  </si>
  <si>
    <t>Vastlegging in vaarzen (vervanging)</t>
  </si>
  <si>
    <t>Jeugdtoeslag (kVEM/jaar) (36,25% vervanging)</t>
  </si>
  <si>
    <t>Jeugdtoeslag (kVEM/jaar) (eigen vervangings%)</t>
  </si>
  <si>
    <t>Totaal VEM behoefte melkvee (36.25% vervanging)</t>
  </si>
  <si>
    <t>N (kg)</t>
  </si>
  <si>
    <t>P (kg)</t>
  </si>
  <si>
    <t>Melk</t>
  </si>
  <si>
    <t>Dracht</t>
  </si>
  <si>
    <t>Vastlegging Jongvee &lt; 1jaar</t>
  </si>
  <si>
    <t>Vastlegging Jongvee &gt; 1jaar</t>
  </si>
  <si>
    <t>Nkalf1; Pkalf1</t>
  </si>
  <si>
    <t>Npink;Ppink</t>
  </si>
  <si>
    <t>Nkalf2;Pkalf2</t>
  </si>
  <si>
    <t>Nvaars1;Pvaars1</t>
  </si>
  <si>
    <t>Kalf</t>
  </si>
  <si>
    <t>Pink</t>
  </si>
  <si>
    <t>Vaars</t>
  </si>
  <si>
    <t>Koe</t>
  </si>
  <si>
    <t>N g/kg</t>
  </si>
  <si>
    <t>P g/kg</t>
  </si>
  <si>
    <t>Gehalten per kg gewicht</t>
  </si>
  <si>
    <t>Vastlegging N en P in jongvee</t>
  </si>
  <si>
    <t>Vastlegging N en P veestapel</t>
  </si>
  <si>
    <t>Gewicht factor melkkoe</t>
  </si>
  <si>
    <t>Gewicht factor kalf</t>
  </si>
  <si>
    <t>Gewicht factor pink</t>
  </si>
  <si>
    <t>Gewicht factor vaars</t>
  </si>
  <si>
    <t>Grote rassen</t>
  </si>
  <si>
    <t>Gewicht melkkoe (Grote rassen)</t>
  </si>
  <si>
    <t>Gewicht melkkoe (kruisling)</t>
  </si>
  <si>
    <t>Gewicht melkkoe (Jersey)</t>
  </si>
  <si>
    <t>Uitgangsfactoren</t>
  </si>
  <si>
    <t>% Klein ras</t>
  </si>
  <si>
    <t>% Kruisingen met klein ras</t>
  </si>
  <si>
    <t>Niet beweiden</t>
  </si>
  <si>
    <t>gedurende</t>
  </si>
  <si>
    <t>Beweiding</t>
  </si>
  <si>
    <t>Veestapel &amp; productie</t>
  </si>
  <si>
    <t>Zomerstalvoedering onbeperkt gras</t>
  </si>
  <si>
    <t>Zomerstalvoedering beperkt gras</t>
  </si>
  <si>
    <t>Factor weidegras</t>
  </si>
  <si>
    <t>Graskuil</t>
  </si>
  <si>
    <t>Mengvoer</t>
  </si>
  <si>
    <t>N</t>
  </si>
  <si>
    <t>Aandeel Graskuil1 (gk1)</t>
  </si>
  <si>
    <t>Verdeling VEM graskuil en versgras</t>
  </si>
  <si>
    <t>Aandeel graskuil2 (gk2)</t>
  </si>
  <si>
    <t>Voeranalyses</t>
  </si>
  <si>
    <t>Graskuil 1</t>
  </si>
  <si>
    <t>Naam</t>
  </si>
  <si>
    <t>Graskuil 2</t>
  </si>
  <si>
    <t>Graskuil 3</t>
  </si>
  <si>
    <t>Snijmais</t>
  </si>
  <si>
    <t>Raapschroot</t>
  </si>
  <si>
    <t>Bietenpulp</t>
  </si>
  <si>
    <t>Sojaschroot</t>
  </si>
  <si>
    <t>Stro</t>
  </si>
  <si>
    <t>Tarwe</t>
  </si>
  <si>
    <t>P/kVEM</t>
  </si>
  <si>
    <t>Aardappelpersvezel</t>
  </si>
  <si>
    <t>RE</t>
  </si>
  <si>
    <t>DVE</t>
  </si>
  <si>
    <t>N/kVEM</t>
  </si>
  <si>
    <t>Aandeel versgras (versgrasprod)</t>
  </si>
  <si>
    <t>Aandeel vg_VEM-gat</t>
  </si>
  <si>
    <t>Aandeel sk_VEM-gat</t>
  </si>
  <si>
    <t>Aandeel gk_VEM-gat</t>
  </si>
  <si>
    <t>VEM-gat</t>
  </si>
  <si>
    <t>VEM versgras</t>
  </si>
  <si>
    <t>aandeel gk</t>
  </si>
  <si>
    <t>aandeel vg</t>
  </si>
  <si>
    <t>VEM graskuil</t>
  </si>
  <si>
    <t>VEM snijmais</t>
  </si>
  <si>
    <t>Aantal melkkoeien</t>
  </si>
  <si>
    <t>vet %</t>
  </si>
  <si>
    <t>eiwit %</t>
  </si>
  <si>
    <t>ureumgehalte (mg/100g)</t>
  </si>
  <si>
    <t>Uren weide gang</t>
  </si>
  <si>
    <t>FPCM kg/jaar</t>
  </si>
  <si>
    <t>Dagen weidegang</t>
  </si>
  <si>
    <t>Controle Grasopname kg DS/dag</t>
  </si>
  <si>
    <t>Controle Grasopname /koe/weideperiode</t>
  </si>
  <si>
    <t>Controle VEM opname weideperiode veestapel (kVEM)</t>
  </si>
  <si>
    <t>Cotrole Grasopname</t>
  </si>
  <si>
    <t>gk(2)</t>
  </si>
  <si>
    <t>Zeer beperkt weiden (&lt;6 uur/dag)</t>
  </si>
  <si>
    <t>P/VEM</t>
  </si>
  <si>
    <t>Vers gras</t>
  </si>
  <si>
    <t>OEB</t>
  </si>
  <si>
    <t>Aandeel jongvee &lt; 1 jaar drijfmest</t>
  </si>
  <si>
    <t>Aandeel jongvee &lt; 1 jaar vaste mest</t>
  </si>
  <si>
    <t>Aandeel jongvee &gt; 1 jaar drijfmest</t>
  </si>
  <si>
    <t>Aandeel jongvee &gt; 1 jaar vaste mest</t>
  </si>
  <si>
    <t>Aandeel melkkoeien met drijfmest factor</t>
  </si>
  <si>
    <t>Aandeel melkkoeien vaste mest</t>
  </si>
  <si>
    <t>Melk en kalfkoeien</t>
  </si>
  <si>
    <t>Jongvee &lt; 1 jaar</t>
  </si>
  <si>
    <t>Jongvee &gt; 1 jaar</t>
  </si>
  <si>
    <t>Drijfmest</t>
  </si>
  <si>
    <t xml:space="preserve">Vaste mest </t>
  </si>
  <si>
    <t>Bruto N</t>
  </si>
  <si>
    <t>excretie (kg)</t>
  </si>
  <si>
    <t xml:space="preserve">N in mest dier/jaar         </t>
  </si>
  <si>
    <t>Forfaitaire N in mest (Netto excretie) kg</t>
  </si>
  <si>
    <t>Forfaitaire bruto N excretie</t>
  </si>
  <si>
    <t>Mestproductiefactor</t>
  </si>
  <si>
    <t>Productie N en P2O5 via mest melkveestapel</t>
  </si>
  <si>
    <t>N-opname</t>
  </si>
  <si>
    <t>P-opname</t>
  </si>
  <si>
    <t>Totaal</t>
  </si>
  <si>
    <t>Vastlegging</t>
  </si>
  <si>
    <t>Excretie bruto</t>
  </si>
  <si>
    <t>Efficientie</t>
  </si>
  <si>
    <t>Efficientie%</t>
  </si>
  <si>
    <t>controle_vg</t>
  </si>
  <si>
    <t>P2O5 productie</t>
  </si>
  <si>
    <t>Factor zomerstalvoedering</t>
  </si>
  <si>
    <t>Eenheid</t>
  </si>
  <si>
    <t>kg DS</t>
  </si>
  <si>
    <t>kg product</t>
  </si>
  <si>
    <t>DS (g/kg)</t>
  </si>
  <si>
    <t>% DS mengsel</t>
  </si>
  <si>
    <t>Raapschroot - Fouragehandel Jansen</t>
  </si>
  <si>
    <t>Soyaschroot - Mengvoeders United</t>
  </si>
  <si>
    <t>kg Product</t>
  </si>
  <si>
    <t>Kg Product Droog</t>
  </si>
  <si>
    <t>KG DS Natte Bijproducten</t>
  </si>
  <si>
    <t xml:space="preserve">Bietenpulp </t>
  </si>
  <si>
    <t>melkproductie (kg koe/jaar)</t>
  </si>
  <si>
    <t>Voeraankoop en Voederwinning</t>
  </si>
  <si>
    <t>P-KVDBP</t>
  </si>
  <si>
    <t>Perspulp</t>
  </si>
  <si>
    <t>VEM_KVDBP</t>
  </si>
  <si>
    <t>GEVOERDE GRASKUIL &amp; HOOI</t>
  </si>
  <si>
    <t>Eigen teelt</t>
  </si>
  <si>
    <t>Aankoop</t>
  </si>
  <si>
    <t>KG DS_KVDBP</t>
  </si>
  <si>
    <t>Hoeveelheid</t>
  </si>
  <si>
    <t>Mineralen</t>
  </si>
  <si>
    <t>KG DS_EigenTeelt</t>
  </si>
  <si>
    <t>N-KVDBP</t>
  </si>
  <si>
    <t>OVERIGE VOEDERS</t>
  </si>
  <si>
    <t>VEM_Eigenteelt</t>
  </si>
  <si>
    <t>P_Eigenteelt</t>
  </si>
  <si>
    <t>N_Eigenteelt</t>
  </si>
  <si>
    <t>Overige voeders</t>
  </si>
  <si>
    <t>KVEM</t>
  </si>
  <si>
    <t>VEM overig</t>
  </si>
  <si>
    <t>aandeel sk+overig</t>
  </si>
  <si>
    <t>Aandeel sk+overig_VEM-gat</t>
  </si>
  <si>
    <t>Aandeel sk</t>
  </si>
  <si>
    <t>Aandeel overig</t>
  </si>
  <si>
    <t>Overig</t>
  </si>
  <si>
    <t>Aandeel Snijmaiskuil + Overig (sk1)</t>
  </si>
  <si>
    <t>N/VEM</t>
  </si>
  <si>
    <t>Netto N mest</t>
  </si>
  <si>
    <t>GEVOERDE HOEVEELHEDEN AANGEKOCHT KRACHTVOER, DROGE BIJPRODUCTEN &amp; MINERALEN</t>
  </si>
  <si>
    <t>gehalten in de drogestof</t>
  </si>
  <si>
    <t>gehalten per kg produkt</t>
  </si>
  <si>
    <t>GEVOERDE HOEVEELHEDEN AANGEKOCHTE VOCHTRIJKE KRACHTVOEDERS/NATTE BIJPRODUCTEN</t>
  </si>
  <si>
    <t>GEVOERDE SNIJMAIS, MKS, CCM</t>
  </si>
  <si>
    <t>Product</t>
  </si>
  <si>
    <t>TUSSENRESULTAAT</t>
  </si>
  <si>
    <t>Krachtvoer + bijproducten</t>
  </si>
  <si>
    <t>A++ brok - Brokkema Veevoeders bv</t>
  </si>
  <si>
    <t>Persvezels Emsland Stärke</t>
  </si>
  <si>
    <t>Krachtvoer, droge plus natte bijproducten</t>
  </si>
  <si>
    <t>Overige ruwvoeders</t>
  </si>
  <si>
    <t>P aanvoer</t>
  </si>
  <si>
    <t>Droge stofopname</t>
  </si>
  <si>
    <t>Weidegras</t>
  </si>
  <si>
    <t>Grassilage</t>
  </si>
  <si>
    <t>Overige</t>
  </si>
  <si>
    <t>Behoefte jongvee &lt; 1 j</t>
  </si>
  <si>
    <t>Behoefte jongvee &gt;1 j</t>
  </si>
  <si>
    <t>Zomer</t>
  </si>
  <si>
    <t>Winter</t>
  </si>
  <si>
    <t>Gemiddeld rassen</t>
  </si>
  <si>
    <t xml:space="preserve">RESULTAAT &amp; SIMULATIE </t>
  </si>
  <si>
    <t>Mineralen ZP</t>
  </si>
  <si>
    <t xml:space="preserve">Cu </t>
  </si>
  <si>
    <t>Zn</t>
  </si>
  <si>
    <t>Snijmais aanpassing nodig</t>
  </si>
  <si>
    <t>Onbeperkt weiden (hele dag)</t>
  </si>
  <si>
    <t>Beperkt weiden (&gt; 6 uur/d weiden)</t>
  </si>
  <si>
    <t>%</t>
  </si>
  <si>
    <t>totaal</t>
  </si>
  <si>
    <t>Afgeleverde melk (kg/jaar)</t>
  </si>
  <si>
    <t>Aaant stuks jongvee &lt; 1 jr</t>
  </si>
  <si>
    <t>Aantal stuks jongvee &gt; 1 jr</t>
  </si>
  <si>
    <t>Voeraankoop krachtvoer en natte bijproducten/vochtijke krachtvoeders</t>
  </si>
  <si>
    <t>kg/ds/koe</t>
  </si>
  <si>
    <t>BEWEIDING</t>
  </si>
  <si>
    <t>Bijvoeding naast weidegang met ruwvoer exclusief natte bijproducten/vochtige krachtvoeders</t>
  </si>
  <si>
    <t>Stalrantsoen</t>
  </si>
  <si>
    <t>% van ruwvoer op DS basis</t>
  </si>
  <si>
    <t>gemiddelde voederwaarde</t>
  </si>
  <si>
    <t>gehalten per kg drogestof</t>
  </si>
  <si>
    <t>voederwaarde</t>
  </si>
  <si>
    <t xml:space="preserve">Opname ruwvoer </t>
  </si>
  <si>
    <t>Graskuil, hooi</t>
  </si>
  <si>
    <t>Snijmaiskuil, Graan-GPS</t>
  </si>
  <si>
    <t>DS</t>
  </si>
  <si>
    <t>Rantsoen samenstelling</t>
  </si>
  <si>
    <t>P-toets melkvee</t>
  </si>
  <si>
    <t>Onderstaand is resultaat van huidige situatie</t>
  </si>
  <si>
    <t>Graskuil hooi</t>
  </si>
  <si>
    <t>Bierbostel Brouwerij Goudgele Rakker</t>
  </si>
  <si>
    <t>totaal is niet gelijk aan 100%</t>
  </si>
  <si>
    <t>kg ds/koe dag EXCLUSIEF natte bijproducten/vochtige krachtvoeders</t>
  </si>
  <si>
    <t>Bierbostel</t>
  </si>
  <si>
    <t>Adres</t>
  </si>
  <si>
    <t>Postcode</t>
  </si>
  <si>
    <t>Plaats</t>
  </si>
  <si>
    <t>P. Toets</t>
  </si>
  <si>
    <t>9999ZZ</t>
  </si>
  <si>
    <t>Juinen</t>
  </si>
  <si>
    <t>Provincie</t>
  </si>
  <si>
    <t>Groningen</t>
  </si>
  <si>
    <t>Friesland</t>
  </si>
  <si>
    <t>Drenthe</t>
  </si>
  <si>
    <t>Overijssel</t>
  </si>
  <si>
    <t>Gelderland</t>
  </si>
  <si>
    <t>Flevoland</t>
  </si>
  <si>
    <t>Noord-Holland</t>
  </si>
  <si>
    <t>Utrecht</t>
  </si>
  <si>
    <t>Zeeland</t>
  </si>
  <si>
    <t>Noord-Brabant</t>
  </si>
  <si>
    <t>Limburg</t>
  </si>
  <si>
    <t>Zuid-Holland</t>
  </si>
  <si>
    <t>Uw regio</t>
  </si>
  <si>
    <t>Uw bedrijfstype</t>
  </si>
  <si>
    <t>Streefwaarde 2013</t>
  </si>
  <si>
    <t>Huidige situatie</t>
  </si>
  <si>
    <r>
      <t xml:space="preserve">Krachtvoer, </t>
    </r>
    <r>
      <rPr>
        <b/>
        <sz val="12"/>
        <color theme="1"/>
        <rFont val="Calibri"/>
        <family val="2"/>
        <scheme val="minor"/>
      </rPr>
      <t xml:space="preserve">inclusief </t>
    </r>
    <r>
      <rPr>
        <sz val="12"/>
        <color theme="1"/>
        <rFont val="Calibri"/>
        <family val="2"/>
        <scheme val="minor"/>
      </rPr>
      <t>natte bijproducten</t>
    </r>
  </si>
  <si>
    <t xml:space="preserve">P benutting   </t>
  </si>
  <si>
    <t>Hennig Brandstraat 15</t>
  </si>
  <si>
    <t>Nieuwe situatie</t>
  </si>
  <si>
    <t>*)</t>
  </si>
  <si>
    <t>P-toets</t>
  </si>
  <si>
    <t>Postcode, plaats:</t>
  </si>
  <si>
    <t>Adres:</t>
  </si>
  <si>
    <t>Naam:</t>
  </si>
  <si>
    <t>Weidegras%</t>
  </si>
  <si>
    <t>Graskuil%</t>
  </si>
  <si>
    <t>Overig %</t>
  </si>
  <si>
    <t>Snijmais %</t>
  </si>
  <si>
    <t>Jaarrond rantsoensamenstelling</t>
  </si>
  <si>
    <t>P g/kg DS</t>
  </si>
  <si>
    <t>RE g/kg DS</t>
  </si>
  <si>
    <t>VEM/kg DS</t>
  </si>
  <si>
    <t>Krachtvoer incl. bijproducten (kg DS/100 kg melk)</t>
  </si>
  <si>
    <t>Krachtvoer incl. bijproducten koe (kg DS)</t>
  </si>
  <si>
    <t>P-efficientie (%)</t>
  </si>
  <si>
    <t>kg/dier</t>
  </si>
  <si>
    <t>Tabel</t>
  </si>
  <si>
    <t>Mineralenopname</t>
  </si>
  <si>
    <t>en</t>
  </si>
  <si>
    <t>door</t>
  </si>
  <si>
    <t>melk-</t>
  </si>
  <si>
    <t>kalfkoeien</t>
  </si>
  <si>
    <t>stalperiode</t>
  </si>
  <si>
    <t>weideperiode</t>
  </si>
  <si>
    <t>K</t>
  </si>
  <si>
    <t>Zuid-Oost</t>
  </si>
  <si>
    <t>Nederland</t>
  </si>
  <si>
    <t>Noord-west</t>
  </si>
  <si>
    <t>P2O5</t>
  </si>
  <si>
    <t>K2O</t>
  </si>
  <si>
    <t>weidegras</t>
  </si>
  <si>
    <t>Nieuwe situatie*)</t>
  </si>
  <si>
    <t>Uw  Bedrijf</t>
  </si>
  <si>
    <t>Graslandprod</t>
  </si>
  <si>
    <t>Geconserveerd</t>
  </si>
  <si>
    <t>ZO-NL</t>
  </si>
  <si>
    <t>*) De nieuwe situatie is een prognose bij een gelijkblijvende samenstelling van de veestapel en melkproductie per koe</t>
  </si>
  <si>
    <t>Deze rekenregels zijn gewijzigd</t>
  </si>
  <si>
    <t>Er wordt geen rekening meer gehouden met de gecontroleerde versgras opname</t>
  </si>
  <si>
    <t>Streefwaarde 2011</t>
  </si>
  <si>
    <t>Vergelijk U bedrijf met bedrijven</t>
  </si>
  <si>
    <t>in Uw Regio</t>
  </si>
  <si>
    <t>met een vergelijkbaar rantsoen</t>
  </si>
  <si>
    <t>het streefcijfer voor 2013</t>
  </si>
  <si>
    <t>het streefcijfer voor 2011</t>
  </si>
  <si>
    <r>
      <t xml:space="preserve">Vul onderstaande gegevens in de </t>
    </r>
    <r>
      <rPr>
        <b/>
        <sz val="12"/>
        <color rgb="FF2403ED"/>
        <rFont val="Calibri"/>
        <family val="2"/>
        <scheme val="minor"/>
      </rPr>
      <t>BLAUWE</t>
    </r>
    <r>
      <rPr>
        <sz val="12"/>
        <color theme="1"/>
        <rFont val="Calibri"/>
        <family val="2"/>
        <scheme val="minor"/>
      </rPr>
      <t xml:space="preserve"> velden om inzicht te krijgen in de </t>
    </r>
    <r>
      <rPr>
        <b/>
        <sz val="12"/>
        <color theme="1"/>
        <rFont val="Calibri"/>
        <family val="2"/>
        <scheme val="minor"/>
      </rPr>
      <t>HUIDIGE</t>
    </r>
    <r>
      <rPr>
        <sz val="12"/>
        <color theme="1"/>
        <rFont val="Calibri"/>
        <family val="2"/>
        <scheme val="minor"/>
      </rPr>
      <t xml:space="preserve">  P-benutting van uw veestapel.</t>
    </r>
  </si>
  <si>
    <r>
      <t xml:space="preserve">Klik op de </t>
    </r>
    <r>
      <rPr>
        <b/>
        <sz val="12"/>
        <color rgb="FFFF0000"/>
        <rFont val="Calibri"/>
        <family val="2"/>
        <scheme val="minor"/>
      </rPr>
      <t>RODE</t>
    </r>
    <r>
      <rPr>
        <sz val="12"/>
        <color theme="1"/>
        <rFont val="Calibri"/>
        <family val="2"/>
        <scheme val="minor"/>
      </rPr>
      <t xml:space="preserve"> velden voor een keuzemenu</t>
    </r>
  </si>
  <si>
    <t>Ga naar het volgende RESULTAAT&amp;SIMULATIE voor het resultaat en om een variant op de huidige situatie door te rekenen.</t>
  </si>
  <si>
    <r>
      <t xml:space="preserve">Vul de </t>
    </r>
    <r>
      <rPr>
        <b/>
        <sz val="12"/>
        <color rgb="FF2403ED"/>
        <rFont val="Calibri"/>
        <family val="2"/>
        <scheme val="minor"/>
      </rPr>
      <t>BLAUWE velden</t>
    </r>
    <r>
      <rPr>
        <sz val="12"/>
        <color rgb="FF2403ED"/>
        <rFont val="Calibri"/>
        <family val="2"/>
        <scheme val="minor"/>
      </rPr>
      <t xml:space="preserve"> in </t>
    </r>
    <r>
      <rPr>
        <sz val="12"/>
        <color rgb="FFFF0000"/>
        <rFont val="Calibri"/>
        <family val="2"/>
        <scheme val="minor"/>
      </rPr>
      <t>om een variant op in te voeren om de toekomstige P-benutting te simuleren</t>
    </r>
  </si>
  <si>
    <r>
      <t xml:space="preserve">Achter de </t>
    </r>
    <r>
      <rPr>
        <b/>
        <sz val="12"/>
        <color rgb="FFFF0000"/>
        <rFont val="Calibri"/>
        <family val="2"/>
        <scheme val="minor"/>
      </rPr>
      <t>RODE velden</t>
    </r>
    <r>
      <rPr>
        <sz val="12"/>
        <color rgb="FFFF0000"/>
        <rFont val="Calibri"/>
        <family val="2"/>
        <scheme val="minor"/>
      </rPr>
      <t xml:space="preserve"> vind U een keuzemenu.</t>
    </r>
  </si>
  <si>
    <r>
      <t xml:space="preserve">Het resultaat vind U terug in het bovenstaande resultaatvak en op het tabbald </t>
    </r>
    <r>
      <rPr>
        <b/>
        <sz val="12"/>
        <rFont val="Calibri"/>
        <family val="2"/>
        <scheme val="minor"/>
      </rPr>
      <t>"AFDRUKBLAD"</t>
    </r>
    <r>
      <rPr>
        <sz val="12"/>
        <color rgb="FFFF0000"/>
        <rFont val="Calibri"/>
        <family val="2"/>
        <scheme val="minor"/>
      </rPr>
      <t>.</t>
    </r>
  </si>
  <si>
    <t>Turbo-brok - Brokkema Veevoeders bv</t>
  </si>
  <si>
    <t>Beweiding, ruwvoeropname &amp; rantsoen</t>
  </si>
  <si>
    <t>Aanvoer</t>
  </si>
  <si>
    <t>kg P/jaar</t>
  </si>
  <si>
    <t>% van ruwvoer</t>
  </si>
  <si>
    <t>op DS basis</t>
  </si>
  <si>
    <t>Gehalten in de drogestof</t>
  </si>
  <si>
    <t xml:space="preserve">/koe </t>
  </si>
  <si>
    <t>/100 kg melk</t>
  </si>
  <si>
    <t>*) De verwachte P - benutting in de nieuwe situatie gaat uit van een gelijkblijvende veestapel en melkproductie per koe ten opzichte van de huidige situatie</t>
  </si>
  <si>
    <t>Controle Versgrasopname is uitgeschakeld!!!!!</t>
  </si>
  <si>
    <t>Controle uitgeschakeld!!!!!!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</si>
</sst>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00000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rgb="FF2403ED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1"/>
      <color rgb="FF2403ED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rgb="FF2403ED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2403ED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62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4" xfId="0" applyBorder="1"/>
    <xf numFmtId="1" fontId="0" fillId="0" borderId="0" xfId="0" applyNumberFormat="1" applyBorder="1"/>
    <xf numFmtId="1" fontId="0" fillId="2" borderId="0" xfId="0" applyNumberFormat="1" applyFill="1" applyBorder="1"/>
    <xf numFmtId="1" fontId="0" fillId="3" borderId="5" xfId="0" applyNumberFormat="1" applyFill="1" applyBorder="1"/>
    <xf numFmtId="0" fontId="0" fillId="0" borderId="0" xfId="0" applyBorder="1"/>
    <xf numFmtId="1" fontId="0" fillId="2" borderId="2" xfId="0" applyNumberFormat="1" applyFill="1" applyBorder="1"/>
    <xf numFmtId="1" fontId="0" fillId="3" borderId="3" xfId="0" applyNumberFormat="1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Fill="1" applyBorder="1" applyAlignment="1">
      <alignment horizontal="center"/>
    </xf>
    <xf numFmtId="1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4" xfId="0" applyFill="1" applyBorder="1"/>
    <xf numFmtId="0" fontId="0" fillId="0" borderId="1" xfId="0" applyFill="1" applyBorder="1"/>
    <xf numFmtId="166" fontId="0" fillId="0" borderId="0" xfId="0" applyNumberFormat="1"/>
    <xf numFmtId="0" fontId="0" fillId="0" borderId="15" xfId="0" applyBorder="1"/>
    <xf numFmtId="2" fontId="0" fillId="0" borderId="4" xfId="0" applyNumberFormat="1" applyBorder="1"/>
    <xf numFmtId="0" fontId="0" fillId="0" borderId="0" xfId="0" applyFill="1" applyBorder="1"/>
    <xf numFmtId="1" fontId="0" fillId="3" borderId="0" xfId="0" applyNumberFormat="1" applyFill="1" applyBorder="1"/>
    <xf numFmtId="1" fontId="0" fillId="4" borderId="0" xfId="0" applyNumberFormat="1" applyFill="1" applyBorder="1"/>
    <xf numFmtId="0" fontId="0" fillId="4" borderId="0" xfId="0" applyFill="1" applyBorder="1"/>
    <xf numFmtId="1" fontId="0" fillId="4" borderId="2" xfId="0" applyNumberFormat="1" applyFill="1" applyBorder="1"/>
    <xf numFmtId="1" fontId="0" fillId="2" borderId="5" xfId="0" applyNumberFormat="1" applyFill="1" applyBorder="1"/>
    <xf numFmtId="1" fontId="0" fillId="2" borderId="12" xfId="0" applyNumberFormat="1" applyFill="1" applyBorder="1"/>
    <xf numFmtId="1" fontId="0" fillId="3" borderId="14" xfId="0" applyNumberFormat="1" applyFill="1" applyBorder="1"/>
    <xf numFmtId="1" fontId="0" fillId="3" borderId="12" xfId="0" applyNumberFormat="1" applyFill="1" applyBorder="1"/>
    <xf numFmtId="0" fontId="2" fillId="0" borderId="4" xfId="0" applyFont="1" applyBorder="1"/>
    <xf numFmtId="1" fontId="3" fillId="0" borderId="4" xfId="0" applyNumberFormat="1" applyFont="1" applyBorder="1"/>
    <xf numFmtId="1" fontId="3" fillId="4" borderId="0" xfId="0" applyNumberFormat="1" applyFont="1" applyFill="1" applyBorder="1"/>
    <xf numFmtId="1" fontId="3" fillId="2" borderId="5" xfId="0" applyNumberFormat="1" applyFont="1" applyFill="1" applyBorder="1"/>
    <xf numFmtId="1" fontId="3" fillId="0" borderId="0" xfId="0" applyNumberFormat="1" applyFont="1" applyBorder="1"/>
    <xf numFmtId="1" fontId="3" fillId="3" borderId="5" xfId="0" applyNumberFormat="1" applyFont="1" applyFill="1" applyBorder="1"/>
    <xf numFmtId="0" fontId="2" fillId="0" borderId="0" xfId="0" applyFont="1"/>
    <xf numFmtId="0" fontId="0" fillId="0" borderId="17" xfId="0" applyBorder="1"/>
    <xf numFmtId="1" fontId="0" fillId="0" borderId="18" xfId="0" applyNumberFormat="1" applyBorder="1"/>
    <xf numFmtId="1" fontId="0" fillId="4" borderId="19" xfId="0" applyNumberFormat="1" applyFill="1" applyBorder="1"/>
    <xf numFmtId="1" fontId="0" fillId="2" borderId="20" xfId="0" applyNumberFormat="1" applyFill="1" applyBorder="1"/>
    <xf numFmtId="1" fontId="0" fillId="0" borderId="19" xfId="0" applyNumberFormat="1" applyBorder="1"/>
    <xf numFmtId="1" fontId="0" fillId="3" borderId="21" xfId="0" applyNumberFormat="1" applyFill="1" applyBorder="1"/>
    <xf numFmtId="0" fontId="2" fillId="0" borderId="22" xfId="0" applyFont="1" applyBorder="1"/>
    <xf numFmtId="1" fontId="3" fillId="0" borderId="11" xfId="0" applyNumberFormat="1" applyFont="1" applyBorder="1"/>
    <xf numFmtId="1" fontId="3" fillId="4" borderId="23" xfId="0" applyNumberFormat="1" applyFont="1" applyFill="1" applyBorder="1"/>
    <xf numFmtId="1" fontId="3" fillId="2" borderId="12" xfId="0" applyNumberFormat="1" applyFont="1" applyFill="1" applyBorder="1"/>
    <xf numFmtId="1" fontId="3" fillId="0" borderId="23" xfId="0" applyNumberFormat="1" applyFont="1" applyBorder="1"/>
    <xf numFmtId="1" fontId="3" fillId="3" borderId="24" xfId="0" applyNumberFormat="1" applyFont="1" applyFill="1" applyBorder="1"/>
    <xf numFmtId="1" fontId="0" fillId="0" borderId="1" xfId="0" applyNumberFormat="1" applyBorder="1"/>
    <xf numFmtId="0" fontId="0" fillId="0" borderId="13" xfId="0" applyBorder="1"/>
    <xf numFmtId="1" fontId="0" fillId="0" borderId="5" xfId="0" applyNumberFormat="1" applyBorder="1"/>
    <xf numFmtId="0" fontId="0" fillId="0" borderId="25" xfId="0" applyBorder="1" applyAlignment="1">
      <alignment horizontal="center"/>
    </xf>
    <xf numFmtId="1" fontId="0" fillId="0" borderId="26" xfId="0" applyNumberFormat="1" applyBorder="1"/>
    <xf numFmtId="1" fontId="0" fillId="0" borderId="27" xfId="0" applyNumberFormat="1" applyBorder="1"/>
    <xf numFmtId="1" fontId="0" fillId="0" borderId="15" xfId="0" applyNumberFormat="1" applyBorder="1"/>
    <xf numFmtId="0" fontId="0" fillId="0" borderId="13" xfId="0" applyBorder="1" applyAlignment="1">
      <alignment horizontal="center"/>
    </xf>
    <xf numFmtId="2" fontId="0" fillId="0" borderId="26" xfId="0" applyNumberFormat="1" applyBorder="1"/>
    <xf numFmtId="2" fontId="0" fillId="0" borderId="13" xfId="0" applyNumberFormat="1" applyBorder="1"/>
    <xf numFmtId="2" fontId="0" fillId="0" borderId="25" xfId="0" applyNumberFormat="1" applyBorder="1"/>
    <xf numFmtId="0" fontId="1" fillId="0" borderId="4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1" fillId="0" borderId="10" xfId="0" applyFont="1" applyBorder="1"/>
    <xf numFmtId="165" fontId="4" fillId="0" borderId="26" xfId="0" applyNumberFormat="1" applyFont="1" applyBorder="1"/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28" xfId="0" applyNumberFormat="1" applyBorder="1"/>
    <xf numFmtId="1" fontId="0" fillId="0" borderId="13" xfId="0" applyNumberFormat="1" applyBorder="1"/>
    <xf numFmtId="1" fontId="0" fillId="0" borderId="25" xfId="0" applyNumberFormat="1" applyBorder="1"/>
    <xf numFmtId="1" fontId="0" fillId="0" borderId="14" xfId="0" applyNumberFormat="1" applyBorder="1"/>
    <xf numFmtId="1" fontId="0" fillId="0" borderId="29" xfId="0" applyNumberFormat="1" applyBorder="1"/>
    <xf numFmtId="0" fontId="4" fillId="0" borderId="26" xfId="0" applyFont="1" applyFill="1" applyBorder="1"/>
    <xf numFmtId="0" fontId="4" fillId="5" borderId="26" xfId="0" applyFont="1" applyFill="1" applyBorder="1"/>
    <xf numFmtId="164" fontId="4" fillId="0" borderId="26" xfId="0" applyNumberFormat="1" applyFont="1" applyBorder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Border="1"/>
    <xf numFmtId="1" fontId="6" fillId="5" borderId="0" xfId="0" applyNumberFormat="1" applyFont="1" applyFill="1"/>
    <xf numFmtId="164" fontId="6" fillId="5" borderId="0" xfId="0" applyNumberFormat="1" applyFont="1" applyFill="1"/>
    <xf numFmtId="0" fontId="6" fillId="5" borderId="0" xfId="0" applyFont="1" applyFill="1" applyAlignment="1">
      <alignment horizontal="center"/>
    </xf>
    <xf numFmtId="0" fontId="10" fillId="5" borderId="0" xfId="0" applyFont="1" applyFill="1"/>
    <xf numFmtId="0" fontId="9" fillId="5" borderId="23" xfId="0" applyFont="1" applyFill="1" applyBorder="1" applyAlignment="1">
      <alignment horizontal="center"/>
    </xf>
    <xf numFmtId="0" fontId="9" fillId="5" borderId="0" xfId="0" applyFont="1" applyFill="1"/>
    <xf numFmtId="0" fontId="5" fillId="8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9" fillId="5" borderId="23" xfId="0" applyFont="1" applyFill="1" applyBorder="1" applyAlignment="1">
      <alignment horizontal="left"/>
    </xf>
    <xf numFmtId="0" fontId="6" fillId="5" borderId="0" xfId="0" applyFont="1" applyFill="1" applyAlignment="1"/>
    <xf numFmtId="0" fontId="1" fillId="0" borderId="0" xfId="0" applyFont="1"/>
    <xf numFmtId="0" fontId="9" fillId="5" borderId="0" xfId="0" applyFont="1" applyFill="1" applyAlignment="1">
      <alignment horizontal="center"/>
    </xf>
    <xf numFmtId="0" fontId="11" fillId="0" borderId="0" xfId="0" applyFont="1" applyFill="1"/>
    <xf numFmtId="2" fontId="0" fillId="0" borderId="0" xfId="0" applyNumberFormat="1"/>
    <xf numFmtId="0" fontId="0" fillId="0" borderId="0" xfId="0" applyAlignment="1">
      <alignment horizontal="center"/>
    </xf>
    <xf numFmtId="0" fontId="11" fillId="0" borderId="13" xfId="0" applyFont="1" applyBorder="1"/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0" fillId="0" borderId="14" xfId="0" applyBorder="1"/>
    <xf numFmtId="0" fontId="0" fillId="0" borderId="5" xfId="0" applyBorder="1"/>
    <xf numFmtId="164" fontId="0" fillId="0" borderId="5" xfId="0" applyNumberFormat="1" applyBorder="1"/>
    <xf numFmtId="1" fontId="0" fillId="0" borderId="31" xfId="0" applyNumberFormat="1" applyBorder="1"/>
    <xf numFmtId="168" fontId="0" fillId="0" borderId="16" xfId="0" applyNumberFormat="1" applyBorder="1"/>
    <xf numFmtId="0" fontId="11" fillId="9" borderId="13" xfId="0" applyFont="1" applyFill="1" applyBorder="1"/>
    <xf numFmtId="0" fontId="11" fillId="9" borderId="4" xfId="0" applyFont="1" applyFill="1" applyBorder="1"/>
    <xf numFmtId="0" fontId="11" fillId="9" borderId="5" xfId="0" applyFont="1" applyFill="1" applyBorder="1"/>
    <xf numFmtId="2" fontId="11" fillId="9" borderId="5" xfId="0" applyNumberFormat="1" applyFont="1" applyFill="1" applyBorder="1"/>
    <xf numFmtId="164" fontId="11" fillId="9" borderId="5" xfId="0" applyNumberFormat="1" applyFont="1" applyFill="1" applyBorder="1"/>
    <xf numFmtId="164" fontId="1" fillId="0" borderId="0" xfId="0" applyNumberFormat="1" applyFont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64" fontId="1" fillId="10" borderId="25" xfId="0" applyNumberFormat="1" applyFont="1" applyFill="1" applyBorder="1"/>
    <xf numFmtId="164" fontId="1" fillId="10" borderId="26" xfId="0" applyNumberFormat="1" applyFont="1" applyFill="1" applyBorder="1"/>
    <xf numFmtId="164" fontId="1" fillId="10" borderId="27" xfId="0" applyNumberFormat="1" applyFont="1" applyFill="1" applyBorder="1"/>
    <xf numFmtId="165" fontId="0" fillId="0" borderId="0" xfId="0" applyNumberFormat="1"/>
    <xf numFmtId="0" fontId="11" fillId="0" borderId="0" xfId="0" applyFont="1" applyFill="1" applyBorder="1"/>
    <xf numFmtId="166" fontId="0" fillId="0" borderId="13" xfId="0" applyNumberFormat="1" applyBorder="1"/>
    <xf numFmtId="166" fontId="0" fillId="0" borderId="4" xfId="0" applyNumberFormat="1" applyBorder="1"/>
    <xf numFmtId="166" fontId="0" fillId="0" borderId="15" xfId="0" applyNumberFormat="1" applyBorder="1"/>
    <xf numFmtId="169" fontId="0" fillId="0" borderId="0" xfId="0" applyNumberFormat="1"/>
    <xf numFmtId="2" fontId="11" fillId="0" borderId="30" xfId="0" applyNumberFormat="1" applyFont="1" applyBorder="1"/>
    <xf numFmtId="2" fontId="0" fillId="0" borderId="30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1" fontId="0" fillId="2" borderId="30" xfId="0" applyNumberFormat="1" applyFill="1" applyBorder="1"/>
    <xf numFmtId="1" fontId="0" fillId="4" borderId="13" xfId="0" applyNumberFormat="1" applyFill="1" applyBorder="1"/>
    <xf numFmtId="1" fontId="0" fillId="4" borderId="14" xfId="0" applyNumberFormat="1" applyFill="1" applyBorder="1"/>
    <xf numFmtId="1" fontId="0" fillId="3" borderId="13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 applyAlignment="1">
      <alignment horizontal="right"/>
    </xf>
    <xf numFmtId="0" fontId="11" fillId="0" borderId="4" xfId="0" applyFont="1" applyFill="1" applyBorder="1"/>
    <xf numFmtId="0" fontId="11" fillId="0" borderId="15" xfId="0" applyFont="1" applyFill="1" applyBorder="1"/>
    <xf numFmtId="1" fontId="11" fillId="0" borderId="25" xfId="0" applyNumberFormat="1" applyFont="1" applyBorder="1"/>
    <xf numFmtId="1" fontId="11" fillId="0" borderId="26" xfId="0" applyNumberFormat="1" applyFont="1" applyBorder="1"/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6" fontId="11" fillId="0" borderId="27" xfId="0" applyNumberFormat="1" applyFont="1" applyBorder="1"/>
    <xf numFmtId="2" fontId="11" fillId="9" borderId="14" xfId="0" applyNumberFormat="1" applyFont="1" applyFill="1" applyBorder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Alignment="1">
      <alignment horizontal="right"/>
    </xf>
    <xf numFmtId="2" fontId="6" fillId="5" borderId="0" xfId="0" applyNumberFormat="1" applyFont="1" applyFill="1"/>
    <xf numFmtId="1" fontId="6" fillId="12" borderId="0" xfId="0" applyNumberFormat="1" applyFont="1" applyFill="1"/>
    <xf numFmtId="164" fontId="6" fillId="12" borderId="0" xfId="0" applyNumberFormat="1" applyFont="1" applyFill="1"/>
    <xf numFmtId="0" fontId="6" fillId="12" borderId="0" xfId="0" applyFont="1" applyFill="1"/>
    <xf numFmtId="1" fontId="9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11" fillId="12" borderId="7" xfId="0" applyFont="1" applyFill="1" applyBorder="1" applyAlignment="1">
      <alignment horizontal="left"/>
    </xf>
    <xf numFmtId="0" fontId="11" fillId="12" borderId="8" xfId="0" applyFont="1" applyFill="1" applyBorder="1" applyAlignment="1">
      <alignment horizontal="left"/>
    </xf>
    <xf numFmtId="0" fontId="12" fillId="11" borderId="7" xfId="0" applyFont="1" applyFill="1" applyBorder="1" applyAlignment="1">
      <alignment horizontal="left"/>
    </xf>
    <xf numFmtId="0" fontId="12" fillId="11" borderId="8" xfId="0" applyFont="1" applyFill="1" applyBorder="1" applyAlignment="1">
      <alignment horizontal="left"/>
    </xf>
    <xf numFmtId="0" fontId="0" fillId="13" borderId="0" xfId="0" applyFill="1"/>
    <xf numFmtId="167" fontId="6" fillId="5" borderId="0" xfId="0" applyNumberFormat="1" applyFont="1" applyFill="1"/>
    <xf numFmtId="0" fontId="0" fillId="0" borderId="27" xfId="0" applyFill="1" applyBorder="1"/>
    <xf numFmtId="0" fontId="16" fillId="0" borderId="4" xfId="0" applyFont="1" applyBorder="1"/>
    <xf numFmtId="0" fontId="16" fillId="0" borderId="0" xfId="0" applyFont="1"/>
    <xf numFmtId="2" fontId="16" fillId="0" borderId="0" xfId="0" applyNumberFormat="1" applyFont="1" applyBorder="1"/>
    <xf numFmtId="2" fontId="16" fillId="0" borderId="5" xfId="0" applyNumberFormat="1" applyFont="1" applyBorder="1"/>
    <xf numFmtId="0" fontId="16" fillId="9" borderId="4" xfId="0" applyFont="1" applyFill="1" applyBorder="1"/>
    <xf numFmtId="2" fontId="16" fillId="9" borderId="5" xfId="0" applyNumberFormat="1" applyFont="1" applyFill="1" applyBorder="1"/>
    <xf numFmtId="2" fontId="16" fillId="0" borderId="0" xfId="0" applyNumberFormat="1" applyFont="1"/>
    <xf numFmtId="0" fontId="16" fillId="9" borderId="15" xfId="0" applyFont="1" applyFill="1" applyBorder="1"/>
    <xf numFmtId="2" fontId="16" fillId="9" borderId="16" xfId="0" applyNumberFormat="1" applyFont="1" applyFill="1" applyBorder="1"/>
    <xf numFmtId="0" fontId="16" fillId="0" borderId="13" xfId="0" applyFont="1" applyBorder="1"/>
    <xf numFmtId="0" fontId="16" fillId="0" borderId="15" xfId="0" applyFont="1" applyBorder="1"/>
    <xf numFmtId="2" fontId="16" fillId="0" borderId="14" xfId="0" applyNumberFormat="1" applyFont="1" applyBorder="1"/>
    <xf numFmtId="2" fontId="16" fillId="0" borderId="16" xfId="0" applyNumberFormat="1" applyFont="1" applyBorder="1"/>
    <xf numFmtId="0" fontId="0" fillId="0" borderId="26" xfId="0" applyFill="1" applyBorder="1"/>
    <xf numFmtId="1" fontId="0" fillId="0" borderId="6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166" fontId="0" fillId="0" borderId="14" xfId="0" applyNumberFormat="1" applyBorder="1"/>
    <xf numFmtId="166" fontId="0" fillId="0" borderId="5" xfId="0" applyNumberFormat="1" applyBorder="1"/>
    <xf numFmtId="166" fontId="0" fillId="0" borderId="16" xfId="0" applyNumberFormat="1" applyBorder="1"/>
    <xf numFmtId="0" fontId="11" fillId="0" borderId="13" xfId="0" applyFont="1" applyFill="1" applyBorder="1"/>
    <xf numFmtId="1" fontId="0" fillId="0" borderId="8" xfId="0" applyNumberForma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6" fillId="5" borderId="0" xfId="0" applyNumberFormat="1" applyFont="1" applyFill="1" applyBorder="1"/>
    <xf numFmtId="0" fontId="13" fillId="5" borderId="0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17" fillId="5" borderId="0" xfId="0" applyFont="1" applyFill="1"/>
    <xf numFmtId="0" fontId="17" fillId="5" borderId="0" xfId="0" applyFont="1" applyFill="1" applyBorder="1" applyAlignment="1">
      <alignment horizontal="right"/>
    </xf>
    <xf numFmtId="0" fontId="17" fillId="5" borderId="0" xfId="0" applyFont="1" applyFill="1" applyBorder="1" applyAlignment="1"/>
    <xf numFmtId="16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right"/>
    </xf>
    <xf numFmtId="0" fontId="7" fillId="5" borderId="0" xfId="0" applyFont="1" applyFill="1"/>
    <xf numFmtId="0" fontId="6" fillId="5" borderId="0" xfId="0" quotePrefix="1" applyFont="1" applyFill="1"/>
    <xf numFmtId="1" fontId="6" fillId="5" borderId="0" xfId="0" quotePrefix="1" applyNumberFormat="1" applyFont="1" applyFill="1"/>
    <xf numFmtId="0" fontId="8" fillId="5" borderId="0" xfId="0" applyFont="1" applyFill="1"/>
    <xf numFmtId="0" fontId="12" fillId="13" borderId="0" xfId="0" applyFont="1" applyFill="1"/>
    <xf numFmtId="0" fontId="9" fillId="5" borderId="0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64" fontId="5" fillId="5" borderId="0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right"/>
    </xf>
    <xf numFmtId="0" fontId="11" fillId="14" borderId="7" xfId="0" applyFont="1" applyFill="1" applyBorder="1" applyAlignment="1">
      <alignment horizontal="left"/>
    </xf>
    <xf numFmtId="0" fontId="11" fillId="14" borderId="8" xfId="0" applyFont="1" applyFill="1" applyBorder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31" xfId="0" applyNumberFormat="1" applyBorder="1"/>
    <xf numFmtId="164" fontId="0" fillId="0" borderId="16" xfId="0" applyNumberFormat="1" applyBorder="1"/>
    <xf numFmtId="0" fontId="0" fillId="10" borderId="6" xfId="0" applyFill="1" applyBorder="1"/>
    <xf numFmtId="0" fontId="0" fillId="10" borderId="7" xfId="0" applyFill="1" applyBorder="1"/>
    <xf numFmtId="164" fontId="0" fillId="10" borderId="7" xfId="0" applyNumberFormat="1" applyFill="1" applyBorder="1"/>
    <xf numFmtId="0" fontId="0" fillId="10" borderId="8" xfId="0" applyFill="1" applyBorder="1"/>
    <xf numFmtId="164" fontId="0" fillId="10" borderId="8" xfId="0" applyNumberFormat="1" applyFill="1" applyBorder="1"/>
    <xf numFmtId="0" fontId="0" fillId="5" borderId="0" xfId="0" applyFont="1" applyFill="1"/>
    <xf numFmtId="0" fontId="15" fillId="5" borderId="0" xfId="0" applyFont="1" applyFill="1" applyBorder="1" applyAlignment="1">
      <alignment horizontal="left"/>
    </xf>
    <xf numFmtId="1" fontId="0" fillId="5" borderId="0" xfId="0" applyNumberFormat="1" applyFont="1" applyFill="1"/>
    <xf numFmtId="164" fontId="0" fillId="5" borderId="0" xfId="0" applyNumberFormat="1" applyFont="1" applyFill="1"/>
    <xf numFmtId="0" fontId="15" fillId="5" borderId="0" xfId="0" applyFont="1" applyFill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15" fillId="5" borderId="0" xfId="0" applyFont="1" applyFill="1"/>
    <xf numFmtId="0" fontId="18" fillId="8" borderId="6" xfId="0" applyFont="1" applyFill="1" applyBorder="1" applyAlignment="1"/>
    <xf numFmtId="0" fontId="18" fillId="8" borderId="7" xfId="0" applyFont="1" applyFill="1" applyBorder="1" applyAlignment="1"/>
    <xf numFmtId="0" fontId="18" fillId="8" borderId="8" xfId="0" applyFont="1" applyFill="1" applyBorder="1" applyAlignment="1"/>
    <xf numFmtId="1" fontId="18" fillId="8" borderId="8" xfId="0" applyNumberFormat="1" applyFont="1" applyFill="1" applyBorder="1" applyAlignment="1">
      <alignment horizontal="center"/>
    </xf>
    <xf numFmtId="0" fontId="20" fillId="5" borderId="0" xfId="0" applyFont="1" applyFill="1" applyBorder="1"/>
    <xf numFmtId="0" fontId="18" fillId="8" borderId="4" xfId="0" applyFont="1" applyFill="1" applyBorder="1" applyAlignment="1"/>
    <xf numFmtId="0" fontId="18" fillId="8" borderId="0" xfId="0" applyFont="1" applyFill="1" applyBorder="1" applyAlignment="1"/>
    <xf numFmtId="0" fontId="18" fillId="8" borderId="5" xfId="0" applyFont="1" applyFill="1" applyBorder="1" applyAlignment="1"/>
    <xf numFmtId="1" fontId="18" fillId="8" borderId="10" xfId="0" applyNumberFormat="1" applyFont="1" applyFill="1" applyBorder="1" applyAlignment="1">
      <alignment horizontal="center"/>
    </xf>
    <xf numFmtId="0" fontId="18" fillId="8" borderId="13" xfId="0" applyFont="1" applyFill="1" applyBorder="1" applyAlignment="1"/>
    <xf numFmtId="0" fontId="18" fillId="8" borderId="30" xfId="0" applyFont="1" applyFill="1" applyBorder="1" applyAlignment="1"/>
    <xf numFmtId="0" fontId="18" fillId="8" borderId="14" xfId="0" applyFont="1" applyFill="1" applyBorder="1" applyAlignment="1"/>
    <xf numFmtId="0" fontId="18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" fontId="20" fillId="5" borderId="0" xfId="0" applyNumberFormat="1" applyFont="1" applyFill="1" applyBorder="1" applyAlignment="1">
      <alignment horizontal="center"/>
    </xf>
    <xf numFmtId="0" fontId="18" fillId="5" borderId="0" xfId="0" applyFont="1" applyFill="1" applyBorder="1"/>
    <xf numFmtId="0" fontId="18" fillId="5" borderId="0" xfId="0" applyFont="1" applyFill="1" applyBorder="1" applyAlignment="1">
      <alignment horizontal="center"/>
    </xf>
    <xf numFmtId="1" fontId="18" fillId="5" borderId="0" xfId="0" applyNumberFormat="1" applyFont="1" applyFill="1" applyBorder="1" applyAlignment="1">
      <alignment horizontal="center"/>
    </xf>
    <xf numFmtId="1" fontId="18" fillId="7" borderId="10" xfId="0" applyNumberFormat="1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1" fontId="18" fillId="11" borderId="10" xfId="0" applyNumberFormat="1" applyFont="1" applyFill="1" applyBorder="1" applyAlignment="1">
      <alignment horizontal="center"/>
    </xf>
    <xf numFmtId="1" fontId="18" fillId="11" borderId="8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18" fillId="11" borderId="6" xfId="0" applyFont="1" applyFill="1" applyBorder="1" applyAlignment="1">
      <alignment horizontal="left"/>
    </xf>
    <xf numFmtId="0" fontId="18" fillId="11" borderId="8" xfId="0" applyFont="1" applyFill="1" applyBorder="1" applyAlignment="1">
      <alignment horizontal="center"/>
    </xf>
    <xf numFmtId="0" fontId="0" fillId="5" borderId="0" xfId="0" applyFont="1" applyFill="1" applyAlignment="1">
      <alignment horizontal="right"/>
    </xf>
    <xf numFmtId="0" fontId="20" fillId="12" borderId="6" xfId="0" applyFont="1" applyFill="1" applyBorder="1" applyAlignment="1">
      <alignment horizontal="left"/>
    </xf>
    <xf numFmtId="1" fontId="20" fillId="12" borderId="10" xfId="0" applyNumberFormat="1" applyFont="1" applyFill="1" applyBorder="1" applyAlignment="1">
      <alignment horizontal="center"/>
    </xf>
    <xf numFmtId="1" fontId="20" fillId="12" borderId="8" xfId="0" applyNumberFormat="1" applyFont="1" applyFill="1" applyBorder="1" applyAlignment="1">
      <alignment horizontal="center"/>
    </xf>
    <xf numFmtId="0" fontId="20" fillId="12" borderId="8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left"/>
    </xf>
    <xf numFmtId="1" fontId="20" fillId="14" borderId="10" xfId="0" applyNumberFormat="1" applyFont="1" applyFill="1" applyBorder="1" applyAlignment="1">
      <alignment horizontal="center"/>
    </xf>
    <xf numFmtId="1" fontId="20" fillId="14" borderId="8" xfId="0" applyNumberFormat="1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164" fontId="0" fillId="5" borderId="0" xfId="0" applyNumberFormat="1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/>
    <xf numFmtId="0" fontId="0" fillId="5" borderId="0" xfId="0" applyFont="1" applyFill="1" applyBorder="1" applyAlignment="1"/>
    <xf numFmtId="164" fontId="0" fillId="5" borderId="0" xfId="0" applyNumberFormat="1" applyFont="1" applyFill="1" applyBorder="1" applyAlignment="1">
      <alignment horizontal="right"/>
    </xf>
    <xf numFmtId="0" fontId="18" fillId="7" borderId="10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0" fontId="6" fillId="5" borderId="0" xfId="0" applyFont="1" applyFill="1" applyBorder="1" applyAlignment="1" applyProtection="1">
      <alignment horizontal="center"/>
    </xf>
    <xf numFmtId="0" fontId="17" fillId="5" borderId="0" xfId="0" applyFont="1" applyFill="1" applyProtection="1"/>
    <xf numFmtId="1" fontId="6" fillId="5" borderId="0" xfId="0" applyNumberFormat="1" applyFont="1" applyFill="1" applyProtection="1"/>
    <xf numFmtId="0" fontId="17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/>
    <xf numFmtId="0" fontId="17" fillId="5" borderId="0" xfId="0" applyFont="1" applyFill="1" applyBorder="1" applyAlignment="1" applyProtection="1"/>
    <xf numFmtId="0" fontId="9" fillId="5" borderId="0" xfId="0" applyFont="1" applyFill="1" applyAlignment="1" applyProtection="1">
      <alignment horizontal="center"/>
    </xf>
    <xf numFmtId="0" fontId="6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/>
    <xf numFmtId="0" fontId="6" fillId="5" borderId="0" xfId="0" applyFont="1" applyFill="1" applyBorder="1" applyProtection="1"/>
    <xf numFmtId="164" fontId="9" fillId="5" borderId="0" xfId="0" applyNumberFormat="1" applyFont="1" applyFill="1" applyProtection="1"/>
    <xf numFmtId="0" fontId="9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9" fillId="5" borderId="0" xfId="0" applyFont="1" applyFill="1" applyProtection="1"/>
    <xf numFmtId="1" fontId="5" fillId="5" borderId="0" xfId="0" applyNumberFormat="1" applyFont="1" applyFill="1" applyBorder="1" applyAlignment="1" applyProtection="1">
      <alignment horizontal="center"/>
    </xf>
    <xf numFmtId="164" fontId="5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3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1" fontId="13" fillId="5" borderId="0" xfId="0" applyNumberFormat="1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1" fontId="6" fillId="5" borderId="0" xfId="0" applyNumberFormat="1" applyFont="1" applyFill="1" applyBorder="1" applyProtection="1"/>
    <xf numFmtId="1" fontId="6" fillId="12" borderId="0" xfId="0" applyNumberFormat="1" applyFont="1" applyFill="1" applyProtection="1"/>
    <xf numFmtId="164" fontId="6" fillId="12" borderId="0" xfId="0" applyNumberFormat="1" applyFont="1" applyFill="1" applyProtection="1"/>
    <xf numFmtId="0" fontId="6" fillId="12" borderId="0" xfId="0" applyFont="1" applyFill="1" applyProtection="1"/>
    <xf numFmtId="164" fontId="6" fillId="5" borderId="0" xfId="0" applyNumberFormat="1" applyFont="1" applyFill="1" applyProtection="1"/>
    <xf numFmtId="1" fontId="9" fillId="5" borderId="0" xfId="0" applyNumberFormat="1" applyFont="1" applyFill="1" applyAlignment="1" applyProtection="1">
      <alignment horizontal="center"/>
    </xf>
    <xf numFmtId="164" fontId="9" fillId="5" borderId="0" xfId="0" applyNumberFormat="1" applyFont="1" applyFill="1" applyAlignment="1" applyProtection="1">
      <alignment horizontal="center"/>
    </xf>
    <xf numFmtId="2" fontId="6" fillId="5" borderId="0" xfId="0" applyNumberFormat="1" applyFont="1" applyFill="1" applyProtection="1"/>
    <xf numFmtId="0" fontId="9" fillId="5" borderId="23" xfId="0" applyFont="1" applyFill="1" applyBorder="1" applyAlignment="1" applyProtection="1">
      <alignment horizontal="center"/>
    </xf>
    <xf numFmtId="164" fontId="5" fillId="5" borderId="0" xfId="0" applyNumberFormat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164" fontId="6" fillId="5" borderId="0" xfId="0" applyNumberFormat="1" applyFont="1" applyFill="1" applyAlignment="1" applyProtection="1">
      <alignment horizontal="center"/>
    </xf>
    <xf numFmtId="0" fontId="9" fillId="5" borderId="23" xfId="0" applyFont="1" applyFill="1" applyBorder="1" applyAlignment="1" applyProtection="1">
      <alignment horizontal="left"/>
    </xf>
    <xf numFmtId="0" fontId="6" fillId="5" borderId="0" xfId="0" applyFont="1" applyFill="1" applyAlignment="1" applyProtection="1"/>
    <xf numFmtId="164" fontId="6" fillId="5" borderId="0" xfId="0" applyNumberFormat="1" applyFont="1" applyFill="1" applyAlignment="1" applyProtection="1">
      <alignment horizontal="right"/>
    </xf>
    <xf numFmtId="167" fontId="6" fillId="5" borderId="0" xfId="0" applyNumberFormat="1" applyFont="1" applyFill="1" applyProtection="1"/>
    <xf numFmtId="0" fontId="7" fillId="5" borderId="0" xfId="0" applyFont="1" applyFill="1" applyProtection="1"/>
    <xf numFmtId="0" fontId="6" fillId="5" borderId="0" xfId="0" quotePrefix="1" applyFont="1" applyFill="1" applyProtection="1"/>
    <xf numFmtId="1" fontId="6" fillId="5" borderId="0" xfId="0" quotePrefix="1" applyNumberFormat="1" applyFont="1" applyFill="1" applyProtection="1"/>
    <xf numFmtId="0" fontId="8" fillId="5" borderId="0" xfId="0" applyFont="1" applyFill="1" applyProtection="1"/>
    <xf numFmtId="164" fontId="5" fillId="7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 applyAlignment="1" applyProtection="1">
      <alignment horizontal="center"/>
      <protection locked="0"/>
    </xf>
    <xf numFmtId="1" fontId="5" fillId="8" borderId="10" xfId="0" applyNumberFormat="1" applyFont="1" applyFill="1" applyBorder="1" applyAlignment="1" applyProtection="1">
      <alignment horizontal="center"/>
      <protection locked="0"/>
    </xf>
    <xf numFmtId="1" fontId="5" fillId="7" borderId="10" xfId="0" applyNumberFormat="1" applyFont="1" applyFill="1" applyBorder="1" applyAlignment="1" applyProtection="1">
      <alignment horizontal="center"/>
      <protection locked="0"/>
    </xf>
    <xf numFmtId="1" fontId="5" fillId="11" borderId="10" xfId="0" applyNumberFormat="1" applyFont="1" applyFill="1" applyBorder="1" applyAlignment="1" applyProtection="1">
      <alignment horizontal="center"/>
      <protection locked="0"/>
    </xf>
    <xf numFmtId="0" fontId="5" fillId="11" borderId="6" xfId="0" applyFont="1" applyFill="1" applyBorder="1" applyAlignment="1" applyProtection="1">
      <alignment horizontal="left"/>
      <protection locked="0"/>
    </xf>
    <xf numFmtId="0" fontId="12" fillId="11" borderId="7" xfId="0" applyFont="1" applyFill="1" applyBorder="1" applyAlignment="1" applyProtection="1">
      <alignment horizontal="left"/>
      <protection locked="0"/>
    </xf>
    <xf numFmtId="0" fontId="12" fillId="11" borderId="8" xfId="0" applyFont="1" applyFill="1" applyBorder="1" applyAlignment="1" applyProtection="1">
      <alignment horizontal="left"/>
      <protection locked="0"/>
    </xf>
    <xf numFmtId="0" fontId="5" fillId="8" borderId="6" xfId="0" applyFont="1" applyFill="1" applyBorder="1" applyAlignment="1" applyProtection="1">
      <alignment horizontal="center"/>
      <protection locked="0"/>
    </xf>
    <xf numFmtId="1" fontId="5" fillId="8" borderId="7" xfId="0" applyNumberFormat="1" applyFont="1" applyFill="1" applyBorder="1" applyAlignment="1" applyProtection="1">
      <alignment horizontal="center"/>
      <protection locked="0"/>
    </xf>
    <xf numFmtId="164" fontId="5" fillId="8" borderId="7" xfId="0" applyNumberFormat="1" applyFont="1" applyFill="1" applyBorder="1" applyAlignment="1" applyProtection="1">
      <alignment horizontal="center"/>
      <protection locked="0"/>
    </xf>
    <xf numFmtId="0" fontId="5" fillId="8" borderId="7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164" fontId="5" fillId="7" borderId="7" xfId="0" applyNumberFormat="1" applyFont="1" applyFill="1" applyBorder="1" applyAlignment="1" applyProtection="1">
      <alignment horizontal="center"/>
      <protection locked="0"/>
    </xf>
    <xf numFmtId="0" fontId="5" fillId="11" borderId="7" xfId="0" applyFont="1" applyFill="1" applyBorder="1" applyAlignment="1" applyProtection="1">
      <alignment horizontal="center"/>
      <protection locked="0"/>
    </xf>
    <xf numFmtId="1" fontId="5" fillId="11" borderId="7" xfId="0" applyNumberFormat="1" applyFont="1" applyFill="1" applyBorder="1" applyAlignment="1" applyProtection="1">
      <alignment horizontal="center"/>
      <protection locked="0"/>
    </xf>
    <xf numFmtId="164" fontId="5" fillId="11" borderId="7" xfId="0" applyNumberFormat="1" applyFont="1" applyFill="1" applyBorder="1" applyAlignment="1" applyProtection="1">
      <alignment horizontal="center"/>
      <protection locked="0"/>
    </xf>
    <xf numFmtId="1" fontId="13" fillId="14" borderId="10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13" fillId="14" borderId="7" xfId="0" applyFont="1" applyFill="1" applyBorder="1" applyAlignment="1" applyProtection="1">
      <alignment horizontal="center"/>
      <protection locked="0"/>
    </xf>
    <xf numFmtId="1" fontId="13" fillId="14" borderId="7" xfId="0" applyNumberFormat="1" applyFont="1" applyFill="1" applyBorder="1" applyAlignment="1" applyProtection="1">
      <alignment horizontal="center"/>
      <protection locked="0"/>
    </xf>
    <xf numFmtId="164" fontId="13" fillId="14" borderId="7" xfId="0" applyNumberFormat="1" applyFont="1" applyFill="1" applyBorder="1" applyAlignment="1" applyProtection="1">
      <alignment horizontal="center"/>
      <protection locked="0"/>
    </xf>
    <xf numFmtId="164" fontId="13" fillId="14" borderId="8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Protection="1">
      <protection locked="0"/>
    </xf>
    <xf numFmtId="0" fontId="13" fillId="14" borderId="6" xfId="0" applyFont="1" applyFill="1" applyBorder="1" applyAlignment="1" applyProtection="1">
      <alignment horizontal="left"/>
      <protection locked="0"/>
    </xf>
    <xf numFmtId="0" fontId="11" fillId="14" borderId="7" xfId="0" applyFont="1" applyFill="1" applyBorder="1" applyAlignment="1" applyProtection="1">
      <alignment horizontal="left"/>
      <protection locked="0"/>
    </xf>
    <xf numFmtId="0" fontId="11" fillId="14" borderId="8" xfId="0" applyFont="1" applyFill="1" applyBorder="1" applyAlignment="1" applyProtection="1">
      <alignment horizontal="left"/>
      <protection locked="0"/>
    </xf>
    <xf numFmtId="0" fontId="13" fillId="14" borderId="8" xfId="0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0" fontId="13" fillId="12" borderId="7" xfId="0" applyFont="1" applyFill="1" applyBorder="1" applyAlignment="1" applyProtection="1">
      <alignment horizontal="center"/>
      <protection locked="0"/>
    </xf>
    <xf numFmtId="1" fontId="13" fillId="12" borderId="7" xfId="0" applyNumberFormat="1" applyFont="1" applyFill="1" applyBorder="1" applyAlignment="1" applyProtection="1">
      <alignment horizontal="center"/>
      <protection locked="0"/>
    </xf>
    <xf numFmtId="164" fontId="13" fillId="12" borderId="7" xfId="0" applyNumberFormat="1" applyFont="1" applyFill="1" applyBorder="1" applyAlignment="1" applyProtection="1">
      <alignment horizontal="center"/>
      <protection locked="0"/>
    </xf>
    <xf numFmtId="164" fontId="13" fillId="12" borderId="8" xfId="0" applyNumberFormat="1" applyFont="1" applyFill="1" applyBorder="1" applyAlignment="1" applyProtection="1">
      <alignment horizontal="center"/>
      <protection locked="0"/>
    </xf>
    <xf numFmtId="0" fontId="13" fillId="12" borderId="6" xfId="0" applyFont="1" applyFill="1" applyBorder="1" applyAlignment="1" applyProtection="1">
      <alignment horizontal="left"/>
      <protection locked="0"/>
    </xf>
    <xf numFmtId="0" fontId="11" fillId="12" borderId="7" xfId="0" applyFont="1" applyFill="1" applyBorder="1" applyAlignment="1" applyProtection="1">
      <alignment horizontal="left"/>
      <protection locked="0"/>
    </xf>
    <xf numFmtId="0" fontId="11" fillId="12" borderId="8" xfId="0" applyFont="1" applyFill="1" applyBorder="1" applyAlignment="1" applyProtection="1">
      <alignment horizontal="left"/>
      <protection locked="0"/>
    </xf>
    <xf numFmtId="0" fontId="13" fillId="12" borderId="8" xfId="0" applyFont="1" applyFill="1" applyBorder="1" applyAlignment="1" applyProtection="1">
      <alignment horizontal="center"/>
      <protection locked="0"/>
    </xf>
    <xf numFmtId="164" fontId="5" fillId="11" borderId="8" xfId="0" applyNumberFormat="1" applyFont="1" applyFill="1" applyBorder="1" applyAlignment="1" applyProtection="1">
      <alignment horizontal="center"/>
      <protection locked="0"/>
    </xf>
    <xf numFmtId="0" fontId="5" fillId="11" borderId="8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7" fillId="11" borderId="7" xfId="0" applyFont="1" applyFill="1" applyBorder="1" applyAlignment="1" applyProtection="1">
      <alignment horizontal="left"/>
      <protection locked="0"/>
    </xf>
    <xf numFmtId="0" fontId="17" fillId="11" borderId="8" xfId="0" applyFont="1" applyFill="1" applyBorder="1" applyAlignment="1" applyProtection="1">
      <alignment horizontal="left"/>
      <protection locked="0"/>
    </xf>
    <xf numFmtId="0" fontId="19" fillId="12" borderId="7" xfId="0" applyFont="1" applyFill="1" applyBorder="1" applyAlignment="1" applyProtection="1">
      <alignment horizontal="left"/>
      <protection locked="0"/>
    </xf>
    <xf numFmtId="0" fontId="19" fillId="12" borderId="8" xfId="0" applyFont="1" applyFill="1" applyBorder="1" applyAlignment="1" applyProtection="1">
      <alignment horizontal="left"/>
      <protection locked="0"/>
    </xf>
    <xf numFmtId="0" fontId="19" fillId="14" borderId="7" xfId="0" applyFont="1" applyFill="1" applyBorder="1" applyAlignment="1" applyProtection="1">
      <alignment horizontal="left"/>
      <protection locked="0"/>
    </xf>
    <xf numFmtId="0" fontId="19" fillId="14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0" fillId="0" borderId="5" xfId="0" applyFill="1" applyBorder="1"/>
    <xf numFmtId="1" fontId="5" fillId="11" borderId="8" xfId="0" applyNumberFormat="1" applyFont="1" applyFill="1" applyBorder="1" applyAlignment="1" applyProtection="1">
      <alignment horizontal="center"/>
      <protection locked="0"/>
    </xf>
    <xf numFmtId="1" fontId="5" fillId="7" borderId="8" xfId="1" applyNumberFormat="1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/>
    <xf numFmtId="0" fontId="19" fillId="5" borderId="0" xfId="0" applyFont="1" applyFill="1" applyProtection="1"/>
    <xf numFmtId="0" fontId="9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left"/>
    </xf>
    <xf numFmtId="0" fontId="19" fillId="5" borderId="0" xfId="0" applyFont="1" applyFill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Protection="1"/>
    <xf numFmtId="0" fontId="19" fillId="5" borderId="0" xfId="0" applyFont="1" applyFill="1" applyBorder="1" applyProtection="1"/>
    <xf numFmtId="164" fontId="19" fillId="5" borderId="0" xfId="0" applyNumberFormat="1" applyFont="1" applyFill="1" applyBorder="1" applyProtection="1"/>
    <xf numFmtId="0" fontId="9" fillId="5" borderId="0" xfId="0" applyFont="1" applyFill="1" applyBorder="1" applyProtection="1"/>
    <xf numFmtId="1" fontId="6" fillId="5" borderId="0" xfId="0" applyNumberFormat="1" applyFont="1" applyFill="1" applyAlignment="1" applyProtection="1">
      <alignment horizontal="right"/>
    </xf>
    <xf numFmtId="0" fontId="6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164" fontId="6" fillId="5" borderId="0" xfId="0" applyNumberFormat="1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right"/>
    </xf>
    <xf numFmtId="1" fontId="22" fillId="5" borderId="0" xfId="0" applyNumberFormat="1" applyFont="1" applyFill="1" applyAlignment="1" applyProtection="1">
      <alignment horizontal="center"/>
    </xf>
    <xf numFmtId="164" fontId="5" fillId="8" borderId="10" xfId="0" applyNumberFormat="1" applyFont="1" applyFill="1" applyBorder="1" applyAlignment="1" applyProtection="1">
      <alignment horizontal="center"/>
      <protection locked="0"/>
    </xf>
    <xf numFmtId="164" fontId="5" fillId="8" borderId="0" xfId="0" applyNumberFormat="1" applyFont="1" applyFill="1" applyBorder="1" applyAlignment="1" applyProtection="1">
      <protection locked="0"/>
    </xf>
    <xf numFmtId="0" fontId="21" fillId="5" borderId="0" xfId="0" applyFont="1" applyFill="1" applyProtection="1"/>
    <xf numFmtId="0" fontId="19" fillId="5" borderId="0" xfId="0" applyFont="1" applyFill="1" applyBorder="1" applyAlignment="1" applyProtection="1">
      <alignment horizontal="center"/>
    </xf>
    <xf numFmtId="0" fontId="19" fillId="5" borderId="0" xfId="0" applyFont="1" applyFill="1" applyAlignment="1" applyProtection="1">
      <alignment horizontal="left"/>
    </xf>
    <xf numFmtId="0" fontId="17" fillId="5" borderId="0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>
      <alignment horizontal="left"/>
    </xf>
    <xf numFmtId="1" fontId="19" fillId="5" borderId="0" xfId="0" applyNumberFormat="1" applyFont="1" applyFill="1" applyBorder="1" applyAlignment="1" applyProtection="1">
      <alignment horizontal="center"/>
    </xf>
    <xf numFmtId="0" fontId="17" fillId="5" borderId="0" xfId="0" applyFont="1" applyFill="1" applyBorder="1" applyProtection="1"/>
    <xf numFmtId="0" fontId="17" fillId="5" borderId="0" xfId="0" applyFont="1" applyFill="1" applyBorder="1" applyAlignment="1" applyProtection="1">
      <alignment horizontal="center"/>
    </xf>
    <xf numFmtId="1" fontId="17" fillId="5" borderId="0" xfId="0" applyNumberFormat="1" applyFont="1" applyFill="1" applyBorder="1" applyAlignment="1" applyProtection="1">
      <alignment horizontal="center"/>
    </xf>
    <xf numFmtId="170" fontId="19" fillId="5" borderId="0" xfId="1" applyNumberFormat="1" applyFont="1" applyFill="1" applyAlignment="1" applyProtection="1">
      <alignment horizontal="left"/>
    </xf>
    <xf numFmtId="170" fontId="6" fillId="5" borderId="0" xfId="1" applyNumberFormat="1" applyFont="1" applyFill="1" applyAlignment="1" applyProtection="1">
      <alignment horizontal="center"/>
    </xf>
    <xf numFmtId="1" fontId="5" fillId="7" borderId="8" xfId="0" applyNumberFormat="1" applyFont="1" applyFill="1" applyBorder="1" applyAlignment="1" applyProtection="1">
      <alignment horizontal="center"/>
    </xf>
    <xf numFmtId="0" fontId="5" fillId="8" borderId="10" xfId="0" applyFont="1" applyFill="1" applyBorder="1" applyAlignment="1" applyProtection="1">
      <alignment horizontal="center"/>
      <protection locked="0"/>
    </xf>
    <xf numFmtId="2" fontId="5" fillId="8" borderId="10" xfId="0" applyNumberFormat="1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Protection="1"/>
    <xf numFmtId="1" fontId="6" fillId="5" borderId="0" xfId="0" applyNumberFormat="1" applyFont="1" applyFill="1" applyAlignment="1" applyProtection="1">
      <alignment horizontal="center"/>
    </xf>
    <xf numFmtId="0" fontId="17" fillId="6" borderId="7" xfId="0" applyFont="1" applyFill="1" applyBorder="1" applyAlignment="1" applyProtection="1">
      <alignment horizontal="center"/>
      <protection locked="0"/>
    </xf>
    <xf numFmtId="0" fontId="25" fillId="5" borderId="0" xfId="0" applyFont="1" applyFill="1" applyProtection="1"/>
    <xf numFmtId="164" fontId="25" fillId="5" borderId="0" xfId="0" applyNumberFormat="1" applyFont="1" applyFill="1" applyProtection="1"/>
    <xf numFmtId="0" fontId="0" fillId="0" borderId="0" xfId="0"/>
    <xf numFmtId="164" fontId="0" fillId="0" borderId="0" xfId="0" applyNumberFormat="1"/>
    <xf numFmtId="0" fontId="0" fillId="10" borderId="0" xfId="0" applyFill="1"/>
    <xf numFmtId="0" fontId="29" fillId="0" borderId="0" xfId="0" applyFont="1"/>
    <xf numFmtId="1" fontId="29" fillId="4" borderId="6" xfId="0" applyNumberFormat="1" applyFont="1" applyFill="1" applyBorder="1"/>
    <xf numFmtId="1" fontId="29" fillId="4" borderId="8" xfId="0" applyNumberFormat="1" applyFont="1" applyFill="1" applyBorder="1"/>
    <xf numFmtId="1" fontId="29" fillId="2" borderId="7" xfId="0" applyNumberFormat="1" applyFont="1" applyFill="1" applyBorder="1"/>
    <xf numFmtId="1" fontId="29" fillId="3" borderId="6" xfId="0" applyNumberFormat="1" applyFont="1" applyFill="1" applyBorder="1"/>
    <xf numFmtId="1" fontId="29" fillId="3" borderId="8" xfId="0" applyNumberFormat="1" applyFont="1" applyFill="1" applyBorder="1"/>
    <xf numFmtId="0" fontId="29" fillId="0" borderId="25" xfId="0" applyFont="1" applyBorder="1"/>
    <xf numFmtId="1" fontId="29" fillId="0" borderId="4" xfId="0" applyNumberFormat="1" applyFont="1" applyFill="1" applyBorder="1"/>
    <xf numFmtId="1" fontId="29" fillId="0" borderId="5" xfId="0" applyNumberFormat="1" applyFont="1" applyFill="1" applyBorder="1"/>
    <xf numFmtId="0" fontId="29" fillId="0" borderId="26" xfId="0" applyFont="1" applyBorder="1"/>
    <xf numFmtId="0" fontId="29" fillId="0" borderId="26" xfId="0" applyFont="1" applyFill="1" applyBorder="1"/>
    <xf numFmtId="0" fontId="29" fillId="0" borderId="27" xfId="0" applyFont="1" applyBorder="1"/>
    <xf numFmtId="1" fontId="29" fillId="0" borderId="15" xfId="0" applyNumberFormat="1" applyFont="1" applyFill="1" applyBorder="1"/>
    <xf numFmtId="1" fontId="29" fillId="0" borderId="16" xfId="0" applyNumberFormat="1" applyFont="1" applyBorder="1"/>
    <xf numFmtId="1" fontId="29" fillId="0" borderId="6" xfId="0" applyNumberFormat="1" applyFont="1" applyBorder="1"/>
    <xf numFmtId="1" fontId="29" fillId="0" borderId="8" xfId="0" applyNumberFormat="1" applyFont="1" applyBorder="1"/>
    <xf numFmtId="1" fontId="29" fillId="0" borderId="0" xfId="0" applyNumberFormat="1" applyFont="1"/>
    <xf numFmtId="2" fontId="29" fillId="0" borderId="0" xfId="0" applyNumberFormat="1" applyFont="1"/>
    <xf numFmtId="164" fontId="29" fillId="0" borderId="0" xfId="0" applyNumberFormat="1" applyFont="1"/>
    <xf numFmtId="0" fontId="32" fillId="5" borderId="0" xfId="0" applyFont="1" applyFill="1"/>
    <xf numFmtId="1" fontId="5" fillId="8" borderId="8" xfId="1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34" fillId="5" borderId="0" xfId="0" applyFont="1" applyFill="1" applyProtection="1"/>
    <xf numFmtId="0" fontId="26" fillId="5" borderId="0" xfId="0" applyFont="1" applyFill="1" applyBorder="1" applyAlignment="1" applyProtection="1">
      <alignment horizontal="left"/>
    </xf>
    <xf numFmtId="1" fontId="25" fillId="5" borderId="0" xfId="0" applyNumberFormat="1" applyFont="1" applyFill="1" applyProtection="1"/>
    <xf numFmtId="0" fontId="35" fillId="5" borderId="0" xfId="0" applyFont="1" applyFill="1" applyProtection="1"/>
    <xf numFmtId="1" fontId="9" fillId="10" borderId="0" xfId="0" applyNumberFormat="1" applyFont="1" applyFill="1" applyAlignment="1" applyProtection="1">
      <alignment horizontal="center"/>
      <protection hidden="1"/>
    </xf>
    <xf numFmtId="1" fontId="9" fillId="10" borderId="10" xfId="0" applyNumberFormat="1" applyFont="1" applyFill="1" applyBorder="1" applyAlignment="1" applyProtection="1">
      <alignment horizontal="center"/>
      <protection hidden="1"/>
    </xf>
    <xf numFmtId="0" fontId="25" fillId="5" borderId="0" xfId="0" applyFont="1" applyFill="1" applyAlignment="1" applyProtection="1">
      <alignment horizontal="left"/>
      <protection hidden="1"/>
    </xf>
    <xf numFmtId="164" fontId="25" fillId="5" borderId="0" xfId="0" applyNumberFormat="1" applyFont="1" applyFill="1" applyProtection="1">
      <protection hidden="1"/>
    </xf>
    <xf numFmtId="0" fontId="25" fillId="5" borderId="0" xfId="0" applyFont="1" applyFill="1" applyProtection="1">
      <protection hidden="1"/>
    </xf>
    <xf numFmtId="0" fontId="6" fillId="5" borderId="0" xfId="0" applyFont="1" applyFill="1" applyProtection="1">
      <protection hidden="1"/>
    </xf>
    <xf numFmtId="0" fontId="25" fillId="5" borderId="0" xfId="0" applyFont="1" applyFill="1" applyAlignment="1" applyProtection="1">
      <alignment horizontal="center"/>
      <protection hidden="1"/>
    </xf>
    <xf numFmtId="0" fontId="25" fillId="5" borderId="0" xfId="0" applyFont="1" applyFill="1" applyBorder="1" applyProtection="1">
      <protection hidden="1"/>
    </xf>
    <xf numFmtId="0" fontId="25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Protection="1">
      <protection hidden="1"/>
    </xf>
    <xf numFmtId="0" fontId="27" fillId="5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5" fillId="5" borderId="31" xfId="0" applyFont="1" applyFill="1" applyBorder="1" applyAlignment="1" applyProtection="1">
      <alignment horizontal="center"/>
      <protection hidden="1"/>
    </xf>
    <xf numFmtId="0" fontId="25" fillId="5" borderId="31" xfId="0" applyFont="1" applyFill="1" applyBorder="1" applyProtection="1">
      <protection hidden="1"/>
    </xf>
    <xf numFmtId="0" fontId="25" fillId="5" borderId="31" xfId="0" applyFont="1" applyFill="1" applyBorder="1" applyAlignment="1" applyProtection="1">
      <alignment horizontal="left"/>
      <protection hidden="1"/>
    </xf>
    <xf numFmtId="0" fontId="6" fillId="5" borderId="31" xfId="0" applyFont="1" applyFill="1" applyBorder="1" applyProtection="1">
      <protection hidden="1"/>
    </xf>
    <xf numFmtId="0" fontId="25" fillId="5" borderId="0" xfId="0" applyFont="1" applyFill="1" applyAlignment="1" applyProtection="1">
      <alignment horizontal="right" vertical="center"/>
      <protection hidden="1"/>
    </xf>
    <xf numFmtId="164" fontId="24" fillId="5" borderId="13" xfId="0" applyNumberFormat="1" applyFont="1" applyFill="1" applyBorder="1" applyAlignment="1" applyProtection="1">
      <alignment horizontal="center" vertical="center"/>
      <protection hidden="1"/>
    </xf>
    <xf numFmtId="0" fontId="23" fillId="5" borderId="14" xfId="0" applyFont="1" applyFill="1" applyBorder="1" applyAlignment="1" applyProtection="1">
      <alignment horizontal="center" vertical="center"/>
      <protection hidden="1"/>
    </xf>
    <xf numFmtId="1" fontId="25" fillId="5" borderId="0" xfId="0" applyNumberFormat="1" applyFont="1" applyFill="1" applyBorder="1" applyAlignment="1" applyProtection="1">
      <alignment horizontal="center" vertical="center"/>
      <protection hidden="1"/>
    </xf>
    <xf numFmtId="164" fontId="25" fillId="5" borderId="0" xfId="0" applyNumberFormat="1" applyFont="1" applyFill="1" applyBorder="1" applyAlignment="1" applyProtection="1">
      <alignment horizontal="center" vertical="center"/>
      <protection hidden="1"/>
    </xf>
    <xf numFmtId="1" fontId="25" fillId="5" borderId="0" xfId="0" applyNumberFormat="1" applyFont="1" applyFill="1" applyAlignment="1" applyProtection="1">
      <alignment horizontal="center" vertical="center"/>
      <protection hidden="1"/>
    </xf>
    <xf numFmtId="164" fontId="25" fillId="5" borderId="0" xfId="0" applyNumberFormat="1" applyFont="1" applyFill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164" fontId="6" fillId="5" borderId="0" xfId="0" applyNumberFormat="1" applyFont="1" applyFill="1" applyBorder="1" applyProtection="1">
      <protection hidden="1"/>
    </xf>
    <xf numFmtId="164" fontId="24" fillId="10" borderId="6" xfId="0" applyNumberFormat="1" applyFont="1" applyFill="1" applyBorder="1" applyAlignment="1" applyProtection="1">
      <alignment horizontal="center" vertical="center"/>
      <protection hidden="1"/>
    </xf>
    <xf numFmtId="0" fontId="23" fillId="10" borderId="8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Protection="1">
      <protection hidden="1"/>
    </xf>
    <xf numFmtId="1" fontId="6" fillId="5" borderId="0" xfId="0" applyNumberFormat="1" applyFont="1" applyFill="1" applyAlignment="1" applyProtection="1">
      <alignment horizontal="right"/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1" fontId="6" fillId="5" borderId="0" xfId="0" applyNumberFormat="1" applyFont="1" applyFill="1" applyBorder="1" applyAlignment="1" applyProtection="1">
      <alignment horizontal="right"/>
      <protection hidden="1"/>
    </xf>
    <xf numFmtId="1" fontId="6" fillId="5" borderId="0" xfId="0" applyNumberFormat="1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Alignment="1" applyProtection="1">
      <alignment horizontal="left"/>
      <protection hidden="1"/>
    </xf>
    <xf numFmtId="164" fontId="6" fillId="5" borderId="0" xfId="0" applyNumberFormat="1" applyFont="1" applyFill="1" applyProtection="1">
      <protection hidden="1"/>
    </xf>
    <xf numFmtId="0" fontId="25" fillId="5" borderId="0" xfId="0" applyFont="1" applyFill="1" applyAlignment="1" applyProtection="1">
      <alignment horizontal="right"/>
      <protection hidden="1"/>
    </xf>
    <xf numFmtId="1" fontId="31" fillId="5" borderId="0" xfId="0" applyNumberFormat="1" applyFont="1" applyFill="1" applyProtection="1">
      <protection hidden="1"/>
    </xf>
    <xf numFmtId="164" fontId="30" fillId="5" borderId="0" xfId="0" applyNumberFormat="1" applyFont="1" applyFill="1" applyAlignment="1" applyProtection="1">
      <alignment horizontal="center"/>
      <protection hidden="1"/>
    </xf>
    <xf numFmtId="1" fontId="25" fillId="5" borderId="0" xfId="0" applyNumberFormat="1" applyFont="1" applyFill="1" applyBorder="1" applyAlignment="1" applyProtection="1">
      <alignment horizontal="right"/>
      <protection hidden="1"/>
    </xf>
    <xf numFmtId="0" fontId="26" fillId="5" borderId="0" xfId="0" applyFont="1" applyFill="1" applyBorder="1" applyAlignment="1" applyProtection="1">
      <alignment horizontal="right"/>
      <protection hidden="1"/>
    </xf>
    <xf numFmtId="0" fontId="30" fillId="5" borderId="0" xfId="0" applyFont="1" applyFill="1" applyAlignment="1" applyProtection="1">
      <alignment horizontal="right"/>
      <protection hidden="1"/>
    </xf>
    <xf numFmtId="0" fontId="31" fillId="5" borderId="0" xfId="0" applyFont="1" applyFill="1" applyBorder="1" applyProtection="1">
      <protection hidden="1"/>
    </xf>
    <xf numFmtId="164" fontId="30" fillId="5" borderId="0" xfId="0" applyNumberFormat="1" applyFont="1" applyFill="1" applyBorder="1" applyAlignment="1" applyProtection="1">
      <alignment horizontal="center"/>
      <protection hidden="1"/>
    </xf>
    <xf numFmtId="164" fontId="25" fillId="5" borderId="0" xfId="0" applyNumberFormat="1" applyFont="1" applyFill="1" applyBorder="1" applyProtection="1">
      <protection hidden="1"/>
    </xf>
    <xf numFmtId="0" fontId="26" fillId="5" borderId="0" xfId="0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164" fontId="25" fillId="5" borderId="0" xfId="0" applyNumberFormat="1" applyFont="1" applyFill="1" applyBorder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right"/>
      <protection hidden="1"/>
    </xf>
    <xf numFmtId="164" fontId="19" fillId="5" borderId="10" xfId="0" applyNumberFormat="1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protection hidden="1"/>
    </xf>
    <xf numFmtId="164" fontId="19" fillId="5" borderId="10" xfId="0" applyNumberFormat="1" applyFont="1" applyFill="1" applyBorder="1" applyAlignment="1" applyProtection="1">
      <alignment horizontal="center"/>
      <protection hidden="1"/>
    </xf>
    <xf numFmtId="0" fontId="21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164" fontId="19" fillId="5" borderId="0" xfId="0" applyNumberFormat="1" applyFont="1" applyFill="1" applyProtection="1">
      <protection hidden="1"/>
    </xf>
    <xf numFmtId="0" fontId="19" fillId="5" borderId="0" xfId="0" applyFont="1" applyFill="1" applyAlignment="1" applyProtection="1">
      <alignment horizontal="right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Protection="1">
      <protection hidden="1"/>
    </xf>
    <xf numFmtId="170" fontId="19" fillId="5" borderId="0" xfId="1" applyNumberFormat="1" applyFont="1" applyFill="1" applyAlignment="1" applyProtection="1">
      <alignment horizontal="left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19" fillId="5" borderId="0" xfId="0" applyNumberFormat="1" applyFont="1" applyFill="1" applyAlignment="1" applyProtection="1">
      <alignment horizontal="center"/>
      <protection hidden="1"/>
    </xf>
    <xf numFmtId="1" fontId="19" fillId="5" borderId="0" xfId="0" applyNumberFormat="1" applyFont="1" applyFill="1" applyBorder="1" applyProtection="1">
      <protection hidden="1"/>
    </xf>
    <xf numFmtId="1" fontId="19" fillId="5" borderId="0" xfId="0" applyNumberFormat="1" applyFont="1" applyFill="1" applyProtection="1"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left"/>
      <protection hidden="1"/>
    </xf>
    <xf numFmtId="0" fontId="19" fillId="5" borderId="6" xfId="0" applyFont="1" applyFill="1" applyBorder="1" applyAlignment="1" applyProtection="1">
      <protection hidden="1"/>
    </xf>
    <xf numFmtId="0" fontId="0" fillId="5" borderId="7" xfId="0" applyFont="1" applyFill="1" applyBorder="1" applyAlignment="1" applyProtection="1">
      <protection hidden="1"/>
    </xf>
    <xf numFmtId="0" fontId="0" fillId="5" borderId="8" xfId="0" applyFont="1" applyFill="1" applyBorder="1" applyAlignment="1" applyProtection="1">
      <protection hidden="1"/>
    </xf>
    <xf numFmtId="1" fontId="19" fillId="5" borderId="8" xfId="0" applyNumberFormat="1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Alignment="1" applyProtection="1">
      <alignment horizontal="left"/>
      <protection hidden="1"/>
    </xf>
    <xf numFmtId="1" fontId="19" fillId="5" borderId="0" xfId="0" applyNumberFormat="1" applyFont="1" applyFill="1" applyBorder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protection hidden="1"/>
    </xf>
    <xf numFmtId="0" fontId="19" fillId="5" borderId="8" xfId="0" applyFont="1" applyFill="1" applyBorder="1" applyAlignment="1" applyProtection="1">
      <protection hidden="1"/>
    </xf>
    <xf numFmtId="0" fontId="6" fillId="5" borderId="0" xfId="0" applyFont="1" applyFill="1" applyAlignment="1" applyProtection="1">
      <alignment horizontal="center"/>
      <protection hidden="1"/>
    </xf>
    <xf numFmtId="2" fontId="6" fillId="5" borderId="0" xfId="0" applyNumberFormat="1" applyFont="1" applyFill="1" applyAlignment="1" applyProtection="1">
      <alignment horizontal="center"/>
      <protection hidden="1"/>
    </xf>
    <xf numFmtId="1" fontId="9" fillId="5" borderId="0" xfId="0" applyNumberFormat="1" applyFont="1" applyFill="1" applyAlignment="1" applyProtection="1">
      <alignment horizontal="center"/>
      <protection hidden="1"/>
    </xf>
    <xf numFmtId="1" fontId="9" fillId="5" borderId="0" xfId="0" applyNumberFormat="1" applyFont="1" applyFill="1" applyProtection="1">
      <protection hidden="1"/>
    </xf>
    <xf numFmtId="0" fontId="9" fillId="5" borderId="0" xfId="0" applyFont="1" applyFill="1" applyAlignment="1" applyProtection="1">
      <alignment horizontal="center"/>
      <protection hidden="1"/>
    </xf>
    <xf numFmtId="164" fontId="9" fillId="5" borderId="0" xfId="0" applyNumberFormat="1" applyFont="1" applyFill="1" applyAlignment="1" applyProtection="1">
      <alignment horizontal="center"/>
      <protection hidden="1"/>
    </xf>
    <xf numFmtId="164" fontId="9" fillId="5" borderId="0" xfId="0" applyNumberFormat="1" applyFont="1" applyFill="1" applyProtection="1">
      <protection hidden="1"/>
    </xf>
    <xf numFmtId="0" fontId="5" fillId="8" borderId="10" xfId="0" applyFont="1" applyFill="1" applyBorder="1" applyAlignment="1" applyProtection="1">
      <alignment horizontal="left"/>
      <protection locked="0"/>
    </xf>
    <xf numFmtId="0" fontId="18" fillId="8" borderId="10" xfId="0" applyFont="1" applyFill="1" applyBorder="1" applyAlignment="1" applyProtection="1">
      <alignment horizontal="left"/>
      <protection locked="0"/>
    </xf>
    <xf numFmtId="0" fontId="19" fillId="5" borderId="6" xfId="0" applyFont="1" applyFill="1" applyBorder="1" applyAlignment="1" applyProtection="1">
      <alignment horizontal="right"/>
    </xf>
    <xf numFmtId="0" fontId="19" fillId="5" borderId="7" xfId="0" applyFont="1" applyFill="1" applyBorder="1" applyAlignment="1" applyProtection="1">
      <alignment horizontal="right"/>
    </xf>
    <xf numFmtId="0" fontId="19" fillId="5" borderId="8" xfId="0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0" fontId="11" fillId="5" borderId="8" xfId="0" applyFont="1" applyFill="1" applyBorder="1" applyAlignment="1" applyProtection="1">
      <alignment horizontal="right"/>
    </xf>
    <xf numFmtId="0" fontId="5" fillId="8" borderId="6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5" fillId="8" borderId="6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8" xfId="0" applyFont="1" applyFill="1" applyBorder="1" applyAlignment="1" applyProtection="1">
      <alignment horizontal="left"/>
      <protection locked="0"/>
    </xf>
    <xf numFmtId="0" fontId="18" fillId="8" borderId="7" xfId="0" applyFont="1" applyFill="1" applyBorder="1" applyAlignment="1" applyProtection="1">
      <protection locked="0"/>
    </xf>
    <xf numFmtId="0" fontId="18" fillId="8" borderId="8" xfId="0" applyFont="1" applyFill="1" applyBorder="1" applyAlignment="1" applyProtection="1"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0" fillId="8" borderId="8" xfId="0" applyFill="1" applyBorder="1" applyAlignment="1" applyProtection="1">
      <alignment horizontal="left"/>
      <protection locked="0"/>
    </xf>
    <xf numFmtId="0" fontId="5" fillId="8" borderId="10" xfId="0" applyFont="1" applyFill="1" applyBorder="1" applyAlignment="1" applyProtection="1">
      <protection locked="0"/>
    </xf>
    <xf numFmtId="0" fontId="18" fillId="8" borderId="10" xfId="0" applyFont="1" applyFill="1" applyBorder="1" applyAlignment="1" applyProtection="1">
      <protection locked="0"/>
    </xf>
    <xf numFmtId="0" fontId="17" fillId="6" borderId="0" xfId="0" applyFont="1" applyFill="1" applyAlignment="1" applyProtection="1">
      <protection locked="0"/>
    </xf>
    <xf numFmtId="0" fontId="0" fillId="0" borderId="0" xfId="0" applyAlignment="1"/>
    <xf numFmtId="0" fontId="5" fillId="6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3" fillId="14" borderId="6" xfId="0" applyFont="1" applyFill="1" applyBorder="1" applyAlignment="1" applyProtection="1">
      <alignment horizontal="left"/>
      <protection locked="0"/>
    </xf>
    <xf numFmtId="0" fontId="11" fillId="14" borderId="7" xfId="0" applyFont="1" applyFill="1" applyBorder="1" applyAlignment="1" applyProtection="1">
      <alignment horizontal="left"/>
      <protection locked="0"/>
    </xf>
    <xf numFmtId="0" fontId="11" fillId="14" borderId="8" xfId="0" applyFont="1" applyFill="1" applyBorder="1" applyAlignment="1" applyProtection="1">
      <alignment horizontal="left"/>
      <protection locked="0"/>
    </xf>
    <xf numFmtId="0" fontId="5" fillId="11" borderId="6" xfId="0" applyFont="1" applyFill="1" applyBorder="1" applyAlignment="1" applyProtection="1">
      <alignment horizontal="left"/>
      <protection locked="0"/>
    </xf>
    <xf numFmtId="0" fontId="12" fillId="11" borderId="7" xfId="0" applyFont="1" applyFill="1" applyBorder="1" applyAlignment="1" applyProtection="1">
      <alignment horizontal="left"/>
      <protection locked="0"/>
    </xf>
    <xf numFmtId="0" fontId="12" fillId="11" borderId="8" xfId="0" applyFont="1" applyFill="1" applyBorder="1" applyAlignment="1" applyProtection="1">
      <alignment horizontal="left"/>
      <protection locked="0"/>
    </xf>
    <xf numFmtId="0" fontId="13" fillId="12" borderId="6" xfId="0" applyFont="1" applyFill="1" applyBorder="1" applyAlignment="1" applyProtection="1">
      <alignment horizontal="left"/>
      <protection locked="0"/>
    </xf>
    <xf numFmtId="0" fontId="11" fillId="12" borderId="7" xfId="0" applyFont="1" applyFill="1" applyBorder="1" applyAlignment="1" applyProtection="1">
      <alignment horizontal="left"/>
      <protection locked="0"/>
    </xf>
    <xf numFmtId="0" fontId="11" fillId="12" borderId="8" xfId="0" applyFont="1" applyFill="1" applyBorder="1" applyAlignment="1" applyProtection="1">
      <alignment horizontal="left"/>
      <protection locked="0"/>
    </xf>
    <xf numFmtId="0" fontId="13" fillId="12" borderId="10" xfId="0" applyFont="1" applyFill="1" applyBorder="1" applyAlignment="1" applyProtection="1">
      <alignment horizontal="left"/>
      <protection locked="0"/>
    </xf>
    <xf numFmtId="0" fontId="11" fillId="12" borderId="10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/>
    <xf numFmtId="0" fontId="5" fillId="5" borderId="0" xfId="0" applyFont="1" applyFill="1" applyBorder="1" applyAlignment="1" applyProtection="1">
      <alignment horizontal="center"/>
    </xf>
    <xf numFmtId="0" fontId="12" fillId="5" borderId="0" xfId="0" applyFont="1" applyFill="1" applyAlignment="1" applyProtection="1"/>
    <xf numFmtId="0" fontId="5" fillId="7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7" xfId="0" applyBorder="1" applyAlignment="1"/>
    <xf numFmtId="0" fontId="0" fillId="0" borderId="8" xfId="0" applyBorder="1" applyAlignment="1"/>
    <xf numFmtId="0" fontId="18" fillId="11" borderId="6" xfId="0" applyFont="1" applyFill="1" applyBorder="1" applyAlignment="1">
      <alignment horizontal="left"/>
    </xf>
    <xf numFmtId="0" fontId="12" fillId="11" borderId="7" xfId="0" applyFont="1" applyFill="1" applyBorder="1" applyAlignment="1">
      <alignment horizontal="left"/>
    </xf>
    <xf numFmtId="0" fontId="12" fillId="11" borderId="8" xfId="0" applyFont="1" applyFill="1" applyBorder="1" applyAlignment="1">
      <alignment horizontal="left"/>
    </xf>
    <xf numFmtId="0" fontId="18" fillId="7" borderId="6" xfId="0" applyFont="1" applyFill="1" applyBorder="1" applyAlignment="1">
      <alignment horizontal="left"/>
    </xf>
    <xf numFmtId="0" fontId="18" fillId="7" borderId="7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12" fillId="5" borderId="0" xfId="0" applyFont="1" applyFill="1" applyAlignment="1"/>
    <xf numFmtId="0" fontId="19" fillId="14" borderId="7" xfId="0" applyFont="1" applyFill="1" applyBorder="1" applyAlignment="1" applyProtection="1">
      <alignment horizontal="left"/>
      <protection locked="0"/>
    </xf>
    <xf numFmtId="0" fontId="19" fillId="14" borderId="8" xfId="0" applyFont="1" applyFill="1" applyBorder="1" applyAlignment="1" applyProtection="1">
      <alignment horizontal="left"/>
      <protection locked="0"/>
    </xf>
    <xf numFmtId="0" fontId="17" fillId="11" borderId="7" xfId="0" applyFont="1" applyFill="1" applyBorder="1" applyAlignment="1" applyProtection="1">
      <alignment horizontal="left"/>
      <protection locked="0"/>
    </xf>
    <xf numFmtId="0" fontId="17" fillId="11" borderId="8" xfId="0" applyFont="1" applyFill="1" applyBorder="1" applyAlignment="1" applyProtection="1">
      <alignment horizontal="left"/>
      <protection locked="0"/>
    </xf>
    <xf numFmtId="0" fontId="19" fillId="12" borderId="7" xfId="0" applyFont="1" applyFill="1" applyBorder="1" applyAlignment="1" applyProtection="1">
      <alignment horizontal="left"/>
      <protection locked="0"/>
    </xf>
    <xf numFmtId="0" fontId="19" fillId="12" borderId="8" xfId="0" applyFont="1" applyFill="1" applyBorder="1" applyAlignment="1" applyProtection="1">
      <alignment horizontal="left"/>
      <protection locked="0"/>
    </xf>
    <xf numFmtId="0" fontId="19" fillId="12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19" fillId="5" borderId="6" xfId="0" applyFont="1" applyFill="1" applyBorder="1" applyAlignment="1" applyProtection="1">
      <alignment horizontal="right"/>
      <protection hidden="1"/>
    </xf>
    <xf numFmtId="0" fontId="19" fillId="5" borderId="7" xfId="0" applyFont="1" applyFill="1" applyBorder="1" applyAlignment="1" applyProtection="1">
      <alignment horizontal="right"/>
      <protection hidden="1"/>
    </xf>
    <xf numFmtId="0" fontId="19" fillId="5" borderId="8" xfId="0" applyFont="1" applyFill="1" applyBorder="1" applyAlignment="1" applyProtection="1">
      <alignment horizontal="right"/>
      <protection hidden="1"/>
    </xf>
    <xf numFmtId="0" fontId="19" fillId="5" borderId="6" xfId="0" applyFont="1" applyFill="1" applyBorder="1" applyAlignment="1" applyProtection="1">
      <alignment horizontal="center"/>
      <protection hidden="1"/>
    </xf>
    <xf numFmtId="0" fontId="11" fillId="5" borderId="7" xfId="0" applyFont="1" applyFill="1" applyBorder="1" applyAlignment="1" applyProtection="1">
      <protection hidden="1"/>
    </xf>
    <xf numFmtId="0" fontId="11" fillId="5" borderId="8" xfId="0" applyFont="1" applyFill="1" applyBorder="1" applyAlignment="1" applyProtection="1">
      <protection hidden="1"/>
    </xf>
    <xf numFmtId="0" fontId="13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horizontal="left"/>
    </xf>
    <xf numFmtId="0" fontId="11" fillId="5" borderId="7" xfId="0" applyFont="1" applyFill="1" applyBorder="1" applyAlignment="1" applyProtection="1">
      <alignment horizontal="right"/>
      <protection hidden="1"/>
    </xf>
    <xf numFmtId="0" fontId="11" fillId="5" borderId="8" xfId="0" applyFont="1" applyFill="1" applyBorder="1" applyAlignment="1" applyProtection="1">
      <alignment horizontal="right"/>
      <protection hidden="1"/>
    </xf>
    <xf numFmtId="0" fontId="19" fillId="5" borderId="6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5" fillId="8" borderId="7" xfId="0" applyFont="1" applyFill="1" applyBorder="1" applyAlignment="1" applyProtection="1">
      <protection locked="0"/>
    </xf>
    <xf numFmtId="0" fontId="5" fillId="8" borderId="8" xfId="0" applyFont="1" applyFill="1" applyBorder="1" applyAlignment="1" applyProtection="1">
      <protection locked="0"/>
    </xf>
    <xf numFmtId="0" fontId="6" fillId="5" borderId="0" xfId="0" applyFont="1" applyFill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9" fillId="5" borderId="31" xfId="0" applyFont="1" applyFill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9" fillId="5" borderId="31" xfId="0" applyFont="1" applyFill="1" applyBorder="1" applyAlignment="1" applyProtection="1">
      <protection hidden="1"/>
    </xf>
    <xf numFmtId="0" fontId="6" fillId="0" borderId="31" xfId="0" applyFont="1" applyBorder="1" applyAlignment="1" applyProtection="1">
      <protection hidden="1"/>
    </xf>
    <xf numFmtId="0" fontId="6" fillId="5" borderId="0" xfId="0" applyFont="1" applyFill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1" fontId="13" fillId="5" borderId="0" xfId="0" applyNumberFormat="1" applyFont="1" applyFill="1" applyAlignment="1" applyProtection="1">
      <alignment horizontal="center"/>
      <protection hidden="1"/>
    </xf>
    <xf numFmtId="1" fontId="0" fillId="15" borderId="14" xfId="0" applyNumberFormat="1" applyFill="1" applyBorder="1"/>
    <xf numFmtId="1" fontId="0" fillId="15" borderId="5" xfId="0" applyNumberFormat="1" applyFill="1" applyBorder="1"/>
    <xf numFmtId="1" fontId="0" fillId="15" borderId="16" xfId="0" applyNumberFormat="1" applyFill="1" applyBorder="1"/>
  </cellXfs>
  <cellStyles count="3">
    <cellStyle name="Procent" xfId="1" builtinId="5"/>
    <cellStyle name="Procent 2" xfId="2"/>
    <cellStyle name="Standaard" xfId="0" builtinId="0"/>
  </cellStyles>
  <dxfs count="66"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rgb="FFFFFF0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</dxf>
    <dxf>
      <font>
        <color rgb="FFFFFF00"/>
      </font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ont>
        <color rgb="FFFFFF00"/>
      </font>
    </dxf>
    <dxf>
      <font>
        <color rgb="FFFFFF00"/>
      </font>
    </dxf>
    <dxf>
      <fill>
        <patternFill>
          <bgColor theme="0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2403ED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561822</xdr:colOff>
      <xdr:row>8</xdr:row>
      <xdr:rowOff>173161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238125"/>
          <a:ext cx="1228572" cy="155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16</xdr:col>
      <xdr:colOff>588405</xdr:colOff>
      <xdr:row>13</xdr:row>
      <xdr:rowOff>113497</xdr:rowOff>
    </xdr:to>
    <xdr:pic>
      <xdr:nvPicPr>
        <xdr:cNvPr id="4" name="Afbeelding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14" t="8084" r="30443" b="83962"/>
        <a:stretch/>
      </xdr:blipFill>
      <xdr:spPr bwMode="auto">
        <a:xfrm>
          <a:off x="8022566" y="1940943"/>
          <a:ext cx="3125470" cy="6483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48</xdr:row>
      <xdr:rowOff>66675</xdr:rowOff>
    </xdr:from>
    <xdr:to>
      <xdr:col>6</xdr:col>
      <xdr:colOff>314172</xdr:colOff>
      <xdr:row>58</xdr:row>
      <xdr:rowOff>1711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7839075"/>
          <a:ext cx="1228572" cy="155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50</xdr:row>
      <xdr:rowOff>123825</xdr:rowOff>
    </xdr:from>
    <xdr:to>
      <xdr:col>3</xdr:col>
      <xdr:colOff>93105</xdr:colOff>
      <xdr:row>54</xdr:row>
      <xdr:rowOff>142072</xdr:rowOff>
    </xdr:to>
    <xdr:pic>
      <xdr:nvPicPr>
        <xdr:cNvPr id="3" name="Afbeelding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14" t="8084" r="30443" b="83962"/>
        <a:stretch/>
      </xdr:blipFill>
      <xdr:spPr bwMode="auto">
        <a:xfrm>
          <a:off x="28575" y="8220075"/>
          <a:ext cx="3026805" cy="6659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showGridLines="0" showRowColHeaders="0" topLeftCell="A19" zoomScaleNormal="100" workbookViewId="0">
      <selection activeCell="L45" sqref="L45"/>
    </sheetView>
  </sheetViews>
  <sheetFormatPr defaultColWidth="8.85546875" defaultRowHeight="12.75" x14ac:dyDescent="0.2"/>
  <cols>
    <col min="1" max="1" width="24.42578125" style="286" customWidth="1"/>
    <col min="2" max="2" width="13.28515625" style="286" customWidth="1"/>
    <col min="3" max="3" width="9.140625" style="286" customWidth="1"/>
    <col min="4" max="4" width="8.85546875" style="286" customWidth="1"/>
    <col min="5" max="5" width="10.5703125" style="286" customWidth="1"/>
    <col min="6" max="7" width="9" style="286" customWidth="1"/>
    <col min="8" max="8" width="4.85546875" style="286" customWidth="1"/>
    <col min="9" max="9" width="5.5703125" style="286" customWidth="1"/>
    <col min="10" max="10" width="4.7109375" style="286" customWidth="1"/>
    <col min="11" max="11" width="7.85546875" style="286" customWidth="1"/>
    <col min="12" max="12" width="8.85546875" style="286"/>
    <col min="13" max="13" width="10" style="286" bestFit="1" customWidth="1"/>
    <col min="14" max="18" width="8.85546875" style="286"/>
    <col min="19" max="19" width="10.5703125" style="286" customWidth="1"/>
    <col min="20" max="16384" width="8.85546875" style="286"/>
  </cols>
  <sheetData>
    <row r="1" spans="1:10" ht="18.75" x14ac:dyDescent="0.3">
      <c r="A1" s="285" t="s">
        <v>234</v>
      </c>
    </row>
    <row r="2" spans="1:10" ht="15.75" x14ac:dyDescent="0.25">
      <c r="A2" s="453" t="s">
        <v>314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5.75" x14ac:dyDescent="0.25">
      <c r="A3" s="453" t="s">
        <v>315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5.75" x14ac:dyDescent="0.25">
      <c r="A4" s="427" t="s">
        <v>316</v>
      </c>
      <c r="B4" s="427"/>
      <c r="C4" s="427"/>
      <c r="D4" s="427"/>
      <c r="E4" s="427"/>
      <c r="F4" s="427"/>
      <c r="G4" s="427"/>
      <c r="H4" s="427"/>
      <c r="I4" s="427"/>
      <c r="J4" s="427"/>
    </row>
    <row r="5" spans="1:10" ht="18.75" x14ac:dyDescent="0.3">
      <c r="A5" s="410"/>
    </row>
    <row r="6" spans="1:10" x14ac:dyDescent="0.2">
      <c r="A6" s="287"/>
    </row>
    <row r="7" spans="1:10" ht="15" x14ac:dyDescent="0.25">
      <c r="A7" s="287"/>
      <c r="B7" s="287" t="s">
        <v>79</v>
      </c>
      <c r="C7" s="560" t="s">
        <v>244</v>
      </c>
      <c r="D7" s="561"/>
      <c r="E7" s="561"/>
      <c r="F7" s="561"/>
    </row>
    <row r="8" spans="1:10" ht="15" x14ac:dyDescent="0.25">
      <c r="A8" s="287"/>
      <c r="B8" s="287" t="s">
        <v>241</v>
      </c>
      <c r="C8" s="560" t="s">
        <v>266</v>
      </c>
      <c r="D8" s="561"/>
      <c r="E8" s="561"/>
      <c r="F8" s="561"/>
    </row>
    <row r="9" spans="1:10" ht="15" x14ac:dyDescent="0.25">
      <c r="A9" s="287"/>
      <c r="B9" s="287" t="s">
        <v>242</v>
      </c>
      <c r="C9" s="424" t="s">
        <v>245</v>
      </c>
      <c r="D9" s="286" t="s">
        <v>243</v>
      </c>
      <c r="E9" s="560" t="s">
        <v>246</v>
      </c>
      <c r="F9" s="561"/>
    </row>
    <row r="10" spans="1:10" x14ac:dyDescent="0.2">
      <c r="A10" s="287"/>
    </row>
    <row r="11" spans="1:10" ht="12.2" customHeight="1" x14ac:dyDescent="0.25">
      <c r="A11" s="287"/>
      <c r="B11" s="287" t="s">
        <v>247</v>
      </c>
      <c r="C11" s="562" t="s">
        <v>259</v>
      </c>
      <c r="D11" s="563"/>
    </row>
    <row r="12" spans="1:10" ht="18.75" x14ac:dyDescent="0.3">
      <c r="A12" s="410" t="s">
        <v>67</v>
      </c>
    </row>
    <row r="13" spans="1:10" x14ac:dyDescent="0.2">
      <c r="B13" s="287" t="s">
        <v>5</v>
      </c>
      <c r="C13" s="422">
        <v>100</v>
      </c>
    </row>
    <row r="14" spans="1:10" x14ac:dyDescent="0.2">
      <c r="B14" s="287" t="s">
        <v>62</v>
      </c>
      <c r="C14" s="422">
        <v>0</v>
      </c>
    </row>
    <row r="15" spans="1:10" x14ac:dyDescent="0.2">
      <c r="B15" s="287" t="s">
        <v>63</v>
      </c>
      <c r="C15" s="422">
        <v>0</v>
      </c>
    </row>
    <row r="16" spans="1:10" x14ac:dyDescent="0.2">
      <c r="B16" s="287"/>
      <c r="C16" s="289"/>
    </row>
    <row r="17" spans="1:12" x14ac:dyDescent="0.2">
      <c r="B17" s="287" t="s">
        <v>103</v>
      </c>
      <c r="C17" s="422">
        <v>100</v>
      </c>
    </row>
    <row r="18" spans="1:12" x14ac:dyDescent="0.2">
      <c r="B18" s="287" t="s">
        <v>217</v>
      </c>
      <c r="C18" s="422">
        <v>736500</v>
      </c>
    </row>
    <row r="19" spans="1:12" x14ac:dyDescent="0.2">
      <c r="B19" s="287" t="s">
        <v>104</v>
      </c>
      <c r="C19" s="422">
        <v>4.45</v>
      </c>
    </row>
    <row r="20" spans="1:12" x14ac:dyDescent="0.2">
      <c r="B20" s="287" t="s">
        <v>105</v>
      </c>
      <c r="C20" s="423">
        <v>3.5</v>
      </c>
    </row>
    <row r="21" spans="1:12" x14ac:dyDescent="0.2">
      <c r="B21" s="287" t="s">
        <v>106</v>
      </c>
      <c r="C21" s="422">
        <v>22</v>
      </c>
    </row>
    <row r="22" spans="1:12" x14ac:dyDescent="0.2">
      <c r="B22" s="287"/>
      <c r="D22" s="290"/>
      <c r="E22" s="290"/>
      <c r="F22" s="290"/>
      <c r="G22" s="290"/>
      <c r="H22" s="290"/>
      <c r="I22" s="290"/>
      <c r="J22" s="290"/>
      <c r="K22" s="290"/>
    </row>
    <row r="23" spans="1:12" x14ac:dyDescent="0.2">
      <c r="B23" s="287" t="s">
        <v>218</v>
      </c>
      <c r="C23" s="422">
        <v>40</v>
      </c>
      <c r="H23" s="294" t="s">
        <v>1</v>
      </c>
      <c r="I23" s="290"/>
      <c r="J23" s="290"/>
      <c r="K23" s="290"/>
    </row>
    <row r="24" spans="1:12" x14ac:dyDescent="0.2">
      <c r="B24" s="287"/>
      <c r="H24" s="290"/>
      <c r="I24" s="290"/>
      <c r="J24" s="290"/>
      <c r="K24" s="290"/>
    </row>
    <row r="25" spans="1:12" x14ac:dyDescent="0.2">
      <c r="B25" s="287" t="s">
        <v>219</v>
      </c>
      <c r="C25" s="408">
        <v>32.5</v>
      </c>
      <c r="H25" s="294" t="s">
        <v>1</v>
      </c>
      <c r="I25" s="290"/>
      <c r="J25" s="290"/>
      <c r="K25" s="290"/>
    </row>
    <row r="26" spans="1:12" x14ac:dyDescent="0.2">
      <c r="A26" s="287"/>
      <c r="B26" s="289"/>
    </row>
    <row r="27" spans="1:12" ht="18" x14ac:dyDescent="0.35">
      <c r="A27" s="410" t="s">
        <v>321</v>
      </c>
      <c r="F27" s="317"/>
    </row>
    <row r="28" spans="1:12" x14ac:dyDescent="0.2">
      <c r="A28" s="287"/>
      <c r="B28" s="289"/>
    </row>
    <row r="29" spans="1:12" ht="14.45" x14ac:dyDescent="0.3">
      <c r="A29" s="287" t="s">
        <v>222</v>
      </c>
      <c r="B29" s="564" t="s">
        <v>214</v>
      </c>
      <c r="C29" s="565"/>
      <c r="D29" s="565"/>
      <c r="E29" s="296" t="s">
        <v>65</v>
      </c>
      <c r="F29" s="409">
        <v>5.5</v>
      </c>
      <c r="G29" s="297" t="s">
        <v>1</v>
      </c>
    </row>
    <row r="30" spans="1:12" x14ac:dyDescent="0.2">
      <c r="A30" s="298"/>
    </row>
    <row r="31" spans="1:12" x14ac:dyDescent="0.2">
      <c r="A31" s="402" t="s">
        <v>223</v>
      </c>
    </row>
    <row r="32" spans="1:12" x14ac:dyDescent="0.2">
      <c r="A32" s="390"/>
      <c r="B32" s="545" t="s">
        <v>230</v>
      </c>
      <c r="C32" s="546"/>
      <c r="D32" s="547"/>
      <c r="E32" s="408">
        <v>5</v>
      </c>
      <c r="F32" s="286" t="s">
        <v>221</v>
      </c>
      <c r="L32" s="291"/>
    </row>
    <row r="33" spans="1:12" ht="15" x14ac:dyDescent="0.25">
      <c r="A33" s="390"/>
      <c r="B33" s="545" t="s">
        <v>231</v>
      </c>
      <c r="C33" s="548"/>
      <c r="D33" s="549"/>
      <c r="E33" s="408">
        <v>5</v>
      </c>
      <c r="F33" s="286" t="s">
        <v>221</v>
      </c>
    </row>
    <row r="34" spans="1:12" ht="15" x14ac:dyDescent="0.25">
      <c r="A34" s="390"/>
      <c r="B34" s="545" t="s">
        <v>197</v>
      </c>
      <c r="C34" s="548"/>
      <c r="D34" s="549"/>
      <c r="E34" s="408">
        <v>0</v>
      </c>
      <c r="F34" s="286" t="s">
        <v>221</v>
      </c>
    </row>
    <row r="35" spans="1:12" x14ac:dyDescent="0.2">
      <c r="A35" s="298"/>
    </row>
    <row r="36" spans="1:12" ht="18.75" x14ac:dyDescent="0.3">
      <c r="A36" s="410" t="s">
        <v>224</v>
      </c>
      <c r="F36" s="299"/>
    </row>
    <row r="37" spans="1:12" x14ac:dyDescent="0.2">
      <c r="D37" s="288" t="s">
        <v>229</v>
      </c>
      <c r="E37" s="284">
        <v>15.5</v>
      </c>
      <c r="F37" s="286" t="s">
        <v>239</v>
      </c>
      <c r="L37" s="303"/>
    </row>
    <row r="38" spans="1:12" x14ac:dyDescent="0.2">
      <c r="H38" s="306" t="s">
        <v>226</v>
      </c>
      <c r="L38" s="303"/>
    </row>
    <row r="39" spans="1:12" x14ac:dyDescent="0.2">
      <c r="H39" s="306" t="s">
        <v>227</v>
      </c>
      <c r="L39" s="303"/>
    </row>
    <row r="40" spans="1:12" x14ac:dyDescent="0.2">
      <c r="B40" s="303" t="s">
        <v>191</v>
      </c>
      <c r="E40" s="420" t="s">
        <v>225</v>
      </c>
      <c r="G40" s="306" t="s">
        <v>150</v>
      </c>
      <c r="H40" s="306" t="s">
        <v>2</v>
      </c>
      <c r="I40" s="306" t="s">
        <v>3</v>
      </c>
      <c r="J40" s="306" t="s">
        <v>90</v>
      </c>
      <c r="L40" s="303"/>
    </row>
    <row r="41" spans="1:12" x14ac:dyDescent="0.2">
      <c r="A41" s="390"/>
      <c r="B41" s="545" t="s">
        <v>236</v>
      </c>
      <c r="C41" s="546"/>
      <c r="D41" s="547"/>
      <c r="E41" s="335">
        <v>40</v>
      </c>
      <c r="F41" s="286" t="s">
        <v>215</v>
      </c>
      <c r="G41" s="341">
        <v>410</v>
      </c>
      <c r="H41" s="342">
        <v>875</v>
      </c>
      <c r="I41" s="343">
        <v>4.2</v>
      </c>
      <c r="J41" s="334">
        <v>175</v>
      </c>
      <c r="L41" s="291"/>
    </row>
    <row r="42" spans="1:12" ht="15" x14ac:dyDescent="0.25">
      <c r="A42" s="390"/>
      <c r="B42" s="545" t="s">
        <v>231</v>
      </c>
      <c r="C42" s="548"/>
      <c r="D42" s="549"/>
      <c r="E42" s="335">
        <v>60</v>
      </c>
      <c r="F42" s="286" t="s">
        <v>215</v>
      </c>
      <c r="G42" s="341">
        <v>332</v>
      </c>
      <c r="H42" s="342">
        <v>925</v>
      </c>
      <c r="I42" s="343">
        <v>2</v>
      </c>
      <c r="J42" s="334">
        <v>78.125</v>
      </c>
    </row>
    <row r="43" spans="1:12" ht="15" x14ac:dyDescent="0.25">
      <c r="A43" s="390"/>
      <c r="B43" s="545" t="s">
        <v>197</v>
      </c>
      <c r="C43" s="548"/>
      <c r="D43" s="549"/>
      <c r="E43" s="335">
        <v>0</v>
      </c>
      <c r="F43" s="286" t="s">
        <v>215</v>
      </c>
      <c r="G43" s="341">
        <v>840</v>
      </c>
      <c r="H43" s="342">
        <v>375</v>
      </c>
      <c r="I43" s="343">
        <v>1.2</v>
      </c>
      <c r="J43" s="334">
        <v>44.375</v>
      </c>
    </row>
    <row r="44" spans="1:12" x14ac:dyDescent="0.2">
      <c r="A44" s="300"/>
      <c r="C44" s="287"/>
      <c r="D44" s="288" t="s">
        <v>216</v>
      </c>
      <c r="E44" s="458">
        <f>SUM(E41:E43)</f>
        <v>100</v>
      </c>
      <c r="G44" s="291"/>
      <c r="H44" s="317"/>
      <c r="I44" s="317"/>
      <c r="L44" s="291"/>
    </row>
    <row r="45" spans="1:12" ht="26.25" x14ac:dyDescent="0.4">
      <c r="A45" s="300"/>
      <c r="C45" s="287"/>
      <c r="D45" s="288"/>
      <c r="E45" s="407" t="s">
        <v>238</v>
      </c>
      <c r="G45" s="291"/>
      <c r="H45" s="317"/>
      <c r="I45" s="317"/>
      <c r="L45" s="291"/>
    </row>
    <row r="46" spans="1:12" ht="18.75" x14ac:dyDescent="0.3">
      <c r="A46" s="410" t="s">
        <v>220</v>
      </c>
    </row>
    <row r="47" spans="1:12" x14ac:dyDescent="0.2">
      <c r="A47" s="298"/>
      <c r="H47" s="306" t="s">
        <v>228</v>
      </c>
    </row>
    <row r="48" spans="1:12" x14ac:dyDescent="0.2">
      <c r="A48" s="402" t="s">
        <v>186</v>
      </c>
      <c r="H48" s="411" t="s">
        <v>188</v>
      </c>
      <c r="K48" s="395" t="s">
        <v>322</v>
      </c>
    </row>
    <row r="49" spans="1:11" x14ac:dyDescent="0.2">
      <c r="A49" s="402"/>
      <c r="B49" s="286" t="s">
        <v>191</v>
      </c>
      <c r="E49" s="286" t="s">
        <v>167</v>
      </c>
      <c r="G49" s="306" t="s">
        <v>150</v>
      </c>
      <c r="H49" s="306" t="s">
        <v>2</v>
      </c>
      <c r="I49" s="306" t="s">
        <v>3</v>
      </c>
      <c r="J49" s="306" t="s">
        <v>90</v>
      </c>
      <c r="K49" s="395" t="s">
        <v>323</v>
      </c>
    </row>
    <row r="50" spans="1:11" ht="15" x14ac:dyDescent="0.25">
      <c r="B50" s="550" t="s">
        <v>194</v>
      </c>
      <c r="C50" s="551"/>
      <c r="D50" s="552"/>
      <c r="E50" s="334">
        <v>167000</v>
      </c>
      <c r="F50" s="398" t="s">
        <v>149</v>
      </c>
      <c r="G50" s="341">
        <v>900</v>
      </c>
      <c r="H50" s="342">
        <v>985</v>
      </c>
      <c r="I50" s="343">
        <v>5.2</v>
      </c>
      <c r="J50" s="334">
        <v>177</v>
      </c>
      <c r="K50" s="459">
        <f>ACHTER_INVOER!T24/1000</f>
        <v>868.4</v>
      </c>
    </row>
    <row r="51" spans="1:11" ht="15" x14ac:dyDescent="0.25">
      <c r="B51" s="550" t="s">
        <v>152</v>
      </c>
      <c r="C51" s="556"/>
      <c r="D51" s="557"/>
      <c r="E51" s="334">
        <v>36500</v>
      </c>
      <c r="F51" s="398" t="s">
        <v>149</v>
      </c>
      <c r="G51" s="341">
        <v>900</v>
      </c>
      <c r="H51" s="342">
        <v>848</v>
      </c>
      <c r="I51" s="343">
        <v>11.9</v>
      </c>
      <c r="J51" s="334">
        <v>313.125</v>
      </c>
      <c r="K51" s="459">
        <f>ACHTER_INVOER!T25/1000</f>
        <v>434.35</v>
      </c>
    </row>
    <row r="52" spans="1:11" ht="15" x14ac:dyDescent="0.25">
      <c r="B52" s="550" t="s">
        <v>153</v>
      </c>
      <c r="C52" s="556"/>
      <c r="D52" s="557"/>
      <c r="E52" s="334">
        <v>36500</v>
      </c>
      <c r="F52" s="398" t="s">
        <v>149</v>
      </c>
      <c r="G52" s="341">
        <v>900</v>
      </c>
      <c r="H52" s="342">
        <v>1014</v>
      </c>
      <c r="I52" s="343">
        <v>6.5</v>
      </c>
      <c r="J52" s="334">
        <v>464.375</v>
      </c>
      <c r="K52" s="459">
        <f>ACHTER_INVOER!T26/1000</f>
        <v>237.25</v>
      </c>
    </row>
    <row r="53" spans="1:11" ht="15" x14ac:dyDescent="0.25">
      <c r="B53" s="550" t="s">
        <v>157</v>
      </c>
      <c r="C53" s="556"/>
      <c r="D53" s="557"/>
      <c r="E53" s="334">
        <v>0</v>
      </c>
      <c r="F53" s="398" t="s">
        <v>149</v>
      </c>
      <c r="G53" s="341">
        <v>900</v>
      </c>
      <c r="H53" s="342">
        <v>930</v>
      </c>
      <c r="I53" s="343">
        <v>0.9</v>
      </c>
      <c r="J53" s="334">
        <v>93.125</v>
      </c>
      <c r="K53" s="459">
        <f>ACHTER_INVOER!T27/1000</f>
        <v>0</v>
      </c>
    </row>
    <row r="54" spans="1:11" ht="15" x14ac:dyDescent="0.25">
      <c r="B54" s="550"/>
      <c r="C54" s="556"/>
      <c r="D54" s="557"/>
      <c r="E54" s="335"/>
      <c r="F54" s="398" t="s">
        <v>149</v>
      </c>
      <c r="G54" s="341"/>
      <c r="H54" s="342"/>
      <c r="I54" s="343"/>
      <c r="J54" s="334"/>
      <c r="K54" s="459">
        <f>ACHTER_INVOER!T28/1000</f>
        <v>0</v>
      </c>
    </row>
    <row r="55" spans="1:11" ht="15" x14ac:dyDescent="0.25">
      <c r="B55" s="550"/>
      <c r="C55" s="551"/>
      <c r="D55" s="552"/>
      <c r="E55" s="335"/>
      <c r="F55" s="398" t="s">
        <v>149</v>
      </c>
      <c r="G55" s="341"/>
      <c r="H55" s="344"/>
      <c r="I55" s="343"/>
      <c r="J55" s="334"/>
      <c r="K55" s="459">
        <f>ACHTER_INVOER!T29/1000</f>
        <v>0</v>
      </c>
    </row>
    <row r="56" spans="1:11" ht="15" x14ac:dyDescent="0.25">
      <c r="B56" s="550"/>
      <c r="C56" s="551"/>
      <c r="D56" s="552"/>
      <c r="E56" s="335"/>
      <c r="F56" s="398" t="s">
        <v>149</v>
      </c>
      <c r="G56" s="341"/>
      <c r="H56" s="344"/>
      <c r="I56" s="343"/>
      <c r="J56" s="334"/>
      <c r="K56" s="459">
        <f>ACHTER_INVOER!T30/1000</f>
        <v>0</v>
      </c>
    </row>
    <row r="57" spans="1:11" ht="15" x14ac:dyDescent="0.25">
      <c r="B57" s="550" t="s">
        <v>168</v>
      </c>
      <c r="C57" s="551"/>
      <c r="D57" s="552"/>
      <c r="E57" s="335">
        <f>3650*C17/100</f>
        <v>3650</v>
      </c>
      <c r="F57" s="398" t="s">
        <v>149</v>
      </c>
      <c r="G57" s="341">
        <v>1000</v>
      </c>
      <c r="H57" s="344">
        <v>0</v>
      </c>
      <c r="I57" s="343">
        <v>4</v>
      </c>
      <c r="J57" s="334">
        <v>6.25</v>
      </c>
      <c r="K57" s="459">
        <f>ACHTER_INVOER!T31/1000</f>
        <v>14.6</v>
      </c>
    </row>
    <row r="58" spans="1:11" ht="15" x14ac:dyDescent="0.25">
      <c r="B58" s="413"/>
      <c r="C58" s="414"/>
      <c r="D58" s="414"/>
      <c r="E58" s="415"/>
      <c r="F58" s="416"/>
      <c r="G58" s="417"/>
      <c r="H58" s="417"/>
      <c r="I58" s="417"/>
      <c r="J58" s="417"/>
      <c r="K58" s="298"/>
    </row>
    <row r="59" spans="1:11" ht="15" x14ac:dyDescent="0.25">
      <c r="A59" s="402" t="s">
        <v>189</v>
      </c>
      <c r="B59" s="413"/>
      <c r="C59" s="414"/>
      <c r="D59" s="414"/>
      <c r="E59" s="415"/>
      <c r="F59" s="416"/>
      <c r="G59" s="417"/>
      <c r="H59" s="417"/>
      <c r="I59" s="417"/>
      <c r="J59" s="417"/>
      <c r="K59" s="298"/>
    </row>
    <row r="60" spans="1:11" ht="15" x14ac:dyDescent="0.25">
      <c r="B60" s="413"/>
      <c r="C60" s="414"/>
      <c r="D60" s="414"/>
      <c r="E60" s="418"/>
      <c r="F60" s="416"/>
      <c r="G60" s="417"/>
      <c r="H60" s="411" t="s">
        <v>187</v>
      </c>
      <c r="I60" s="417"/>
      <c r="J60" s="417"/>
      <c r="K60" s="395" t="s">
        <v>322</v>
      </c>
    </row>
    <row r="61" spans="1:11" ht="15" x14ac:dyDescent="0.25">
      <c r="B61" s="286" t="s">
        <v>191</v>
      </c>
      <c r="C61" s="414"/>
      <c r="D61" s="414"/>
      <c r="E61" s="286" t="s">
        <v>167</v>
      </c>
      <c r="F61" s="286" t="s">
        <v>147</v>
      </c>
      <c r="G61" s="306" t="s">
        <v>150</v>
      </c>
      <c r="H61" s="306" t="s">
        <v>2</v>
      </c>
      <c r="I61" s="306" t="s">
        <v>3</v>
      </c>
      <c r="J61" s="306" t="s">
        <v>90</v>
      </c>
      <c r="K61" s="395" t="s">
        <v>323</v>
      </c>
    </row>
    <row r="62" spans="1:11" ht="15" x14ac:dyDescent="0.25">
      <c r="B62" s="543" t="s">
        <v>195</v>
      </c>
      <c r="C62" s="544"/>
      <c r="D62" s="544"/>
      <c r="E62" s="335"/>
      <c r="F62" s="386" t="s">
        <v>149</v>
      </c>
      <c r="G62" s="344">
        <v>209</v>
      </c>
      <c r="H62" s="344">
        <v>1028</v>
      </c>
      <c r="I62" s="344">
        <v>0.9</v>
      </c>
      <c r="J62" s="452">
        <v>78.125</v>
      </c>
      <c r="K62" s="459">
        <f>ACHTER_INVOER!T35/1000</f>
        <v>0</v>
      </c>
    </row>
    <row r="63" spans="1:11" x14ac:dyDescent="0.2">
      <c r="B63" s="553"/>
      <c r="C63" s="554"/>
      <c r="D63" s="555"/>
      <c r="E63" s="335"/>
      <c r="F63" s="386" t="s">
        <v>149</v>
      </c>
      <c r="G63" s="344"/>
      <c r="H63" s="344"/>
      <c r="I63" s="344"/>
      <c r="J63" s="452"/>
      <c r="K63" s="459">
        <f>ACHTER_INVOER!T36/1000</f>
        <v>0</v>
      </c>
    </row>
    <row r="64" spans="1:11" x14ac:dyDescent="0.2">
      <c r="B64" s="553"/>
      <c r="C64" s="554"/>
      <c r="D64" s="555"/>
      <c r="E64" s="335"/>
      <c r="F64" s="386" t="s">
        <v>149</v>
      </c>
      <c r="G64" s="344"/>
      <c r="H64" s="344"/>
      <c r="I64" s="344"/>
      <c r="J64" s="344"/>
      <c r="K64" s="459">
        <f>ACHTER_INVOER!T37/1000</f>
        <v>0</v>
      </c>
    </row>
    <row r="65" spans="1:11" ht="15" x14ac:dyDescent="0.25">
      <c r="B65" s="553"/>
      <c r="C65" s="558"/>
      <c r="D65" s="559"/>
      <c r="E65" s="335"/>
      <c r="F65" s="386" t="s">
        <v>148</v>
      </c>
      <c r="G65" s="344"/>
      <c r="H65" s="344"/>
      <c r="I65" s="344"/>
      <c r="J65" s="452"/>
      <c r="K65" s="459">
        <f>ACHTER_INVOER!T38/1000</f>
        <v>0</v>
      </c>
    </row>
    <row r="66" spans="1:11" ht="15" x14ac:dyDescent="0.25">
      <c r="B66" s="553"/>
      <c r="C66" s="558"/>
      <c r="D66" s="559"/>
      <c r="E66" s="335"/>
      <c r="F66" s="386" t="s">
        <v>148</v>
      </c>
      <c r="G66" s="344"/>
      <c r="H66" s="344"/>
      <c r="I66" s="344"/>
      <c r="J66" s="452"/>
      <c r="K66" s="459">
        <f>ACHTER_INVOER!T39/1000</f>
        <v>0</v>
      </c>
    </row>
    <row r="67" spans="1:11" ht="15" x14ac:dyDescent="0.25">
      <c r="B67" s="553"/>
      <c r="C67" s="558"/>
      <c r="D67" s="559"/>
      <c r="E67" s="335"/>
      <c r="F67" s="386" t="s">
        <v>148</v>
      </c>
      <c r="G67" s="344"/>
      <c r="H67" s="344"/>
      <c r="I67" s="344"/>
      <c r="J67" s="452"/>
      <c r="K67" s="459">
        <f>ACHTER_INVOER!T40/1000</f>
        <v>0</v>
      </c>
    </row>
    <row r="68" spans="1:11" ht="15" x14ac:dyDescent="0.25">
      <c r="B68" s="553"/>
      <c r="C68" s="558"/>
      <c r="D68" s="559"/>
      <c r="E68" s="335"/>
      <c r="F68" s="386" t="s">
        <v>148</v>
      </c>
      <c r="G68" s="344"/>
      <c r="H68" s="344"/>
      <c r="I68" s="344"/>
      <c r="J68" s="452"/>
      <c r="K68" s="459">
        <f>ACHTER_INVOER!T41/1000</f>
        <v>0</v>
      </c>
    </row>
    <row r="69" spans="1:11" ht="15" x14ac:dyDescent="0.25">
      <c r="B69" s="553"/>
      <c r="C69" s="558"/>
      <c r="D69" s="559"/>
      <c r="E69" s="335"/>
      <c r="F69" s="386" t="s">
        <v>148</v>
      </c>
      <c r="G69" s="344"/>
      <c r="H69" s="344"/>
      <c r="I69" s="344"/>
      <c r="J69" s="452"/>
      <c r="K69" s="459">
        <f>ACHTER_INVOER!T42/1000</f>
        <v>0</v>
      </c>
    </row>
    <row r="70" spans="1:11" ht="15" x14ac:dyDescent="0.25">
      <c r="B70" s="543" t="s">
        <v>161</v>
      </c>
      <c r="C70" s="544"/>
      <c r="D70" s="544"/>
      <c r="E70" s="335"/>
      <c r="F70" s="386" t="s">
        <v>149</v>
      </c>
      <c r="G70" s="344">
        <v>231</v>
      </c>
      <c r="H70" s="344">
        <v>1019</v>
      </c>
      <c r="I70" s="344">
        <v>0.9</v>
      </c>
      <c r="J70" s="452">
        <v>98.125</v>
      </c>
      <c r="K70" s="459">
        <f>ACHTER_INVOER!T43/1000</f>
        <v>0</v>
      </c>
    </row>
    <row r="71" spans="1:11" ht="15" x14ac:dyDescent="0.25">
      <c r="B71" s="543" t="s">
        <v>237</v>
      </c>
      <c r="C71" s="544"/>
      <c r="D71" s="544"/>
      <c r="E71" s="335"/>
      <c r="F71" s="386" t="s">
        <v>149</v>
      </c>
      <c r="G71" s="344">
        <v>220</v>
      </c>
      <c r="H71" s="344">
        <v>896</v>
      </c>
      <c r="I71" s="343">
        <v>4.2</v>
      </c>
      <c r="J71" s="334">
        <v>180</v>
      </c>
      <c r="K71" s="459">
        <f>ACHTER_INVOER!T44/1000</f>
        <v>0</v>
      </c>
    </row>
    <row r="72" spans="1:11" x14ac:dyDescent="0.2">
      <c r="H72" s="391"/>
    </row>
    <row r="74" spans="1:11" x14ac:dyDescent="0.2">
      <c r="C74" s="287"/>
      <c r="D74" s="317"/>
      <c r="E74" s="317"/>
      <c r="F74" s="317"/>
      <c r="G74" s="291"/>
      <c r="H74" s="317"/>
      <c r="I74" s="317"/>
    </row>
    <row r="75" spans="1:11" x14ac:dyDescent="0.2">
      <c r="A75" s="300"/>
      <c r="D75" s="317"/>
      <c r="E75" s="317"/>
      <c r="F75" s="317"/>
    </row>
    <row r="76" spans="1:11" x14ac:dyDescent="0.2">
      <c r="D76" s="317"/>
      <c r="E76" s="317"/>
      <c r="F76" s="317"/>
    </row>
    <row r="77" spans="1:11" x14ac:dyDescent="0.2">
      <c r="D77" s="317"/>
      <c r="E77" s="317"/>
      <c r="F77" s="317"/>
    </row>
    <row r="78" spans="1:11" x14ac:dyDescent="0.2">
      <c r="D78" s="317"/>
      <c r="E78" s="317"/>
      <c r="F78" s="317"/>
    </row>
    <row r="79" spans="1:11" x14ac:dyDescent="0.2">
      <c r="D79" s="317"/>
      <c r="E79" s="317"/>
      <c r="F79" s="317"/>
    </row>
    <row r="80" spans="1:11" x14ac:dyDescent="0.2">
      <c r="D80" s="317"/>
      <c r="E80" s="317"/>
      <c r="F80" s="317"/>
    </row>
    <row r="81" spans="4:6" x14ac:dyDescent="0.2">
      <c r="D81" s="317"/>
      <c r="E81" s="317"/>
      <c r="F81" s="317"/>
    </row>
    <row r="82" spans="4:6" x14ac:dyDescent="0.2">
      <c r="D82" s="317"/>
      <c r="E82" s="317"/>
      <c r="F82" s="317"/>
    </row>
    <row r="100" spans="1:9" ht="12.2" customHeight="1" x14ac:dyDescent="0.2">
      <c r="C100" s="287"/>
      <c r="D100" s="317"/>
      <c r="G100" s="291"/>
      <c r="H100" s="317"/>
      <c r="I100" s="317"/>
    </row>
    <row r="101" spans="1:9" x14ac:dyDescent="0.2">
      <c r="A101" s="300"/>
      <c r="C101" s="287"/>
      <c r="D101" s="317"/>
      <c r="G101" s="291"/>
      <c r="H101" s="317"/>
      <c r="I101" s="317"/>
    </row>
    <row r="102" spans="1:9" x14ac:dyDescent="0.2">
      <c r="A102" s="300"/>
    </row>
    <row r="103" spans="1:9" x14ac:dyDescent="0.2">
      <c r="A103" s="298"/>
      <c r="B103" s="298"/>
      <c r="C103" s="298"/>
      <c r="D103" s="298"/>
    </row>
    <row r="104" spans="1:9" ht="13.9" hidden="1" x14ac:dyDescent="0.3">
      <c r="A104" s="303"/>
      <c r="B104" s="298"/>
      <c r="C104" s="298"/>
      <c r="D104" s="298"/>
    </row>
    <row r="105" spans="1:9" ht="14.45" hidden="1" thickBot="1" x14ac:dyDescent="0.35">
      <c r="B105" s="321"/>
      <c r="D105" s="321"/>
      <c r="E105" s="321"/>
    </row>
    <row r="106" spans="1:9" ht="13.9" hidden="1" x14ac:dyDescent="0.3">
      <c r="A106" s="287"/>
      <c r="B106" s="322"/>
      <c r="C106" s="306"/>
      <c r="D106" s="323"/>
      <c r="E106" s="323"/>
    </row>
    <row r="107" spans="1:9" ht="13.9" hidden="1" x14ac:dyDescent="0.3">
      <c r="A107" s="287"/>
      <c r="B107" s="322"/>
      <c r="C107" s="306"/>
      <c r="D107" s="323"/>
      <c r="E107" s="323"/>
    </row>
    <row r="108" spans="1:9" ht="13.9" hidden="1" x14ac:dyDescent="0.3">
      <c r="A108" s="287"/>
      <c r="B108" s="322"/>
      <c r="C108" s="306"/>
      <c r="D108" s="323"/>
      <c r="E108" s="323"/>
    </row>
    <row r="109" spans="1:9" ht="13.9" hidden="1" x14ac:dyDescent="0.3">
      <c r="A109" s="287"/>
      <c r="B109" s="322"/>
      <c r="C109" s="306"/>
      <c r="D109" s="323"/>
      <c r="E109" s="323"/>
    </row>
    <row r="110" spans="1:9" ht="13.9" hidden="1" x14ac:dyDescent="0.3">
      <c r="B110" s="322"/>
      <c r="C110" s="306"/>
      <c r="D110" s="323"/>
      <c r="E110" s="323"/>
    </row>
    <row r="111" spans="1:9" ht="13.9" hidden="1" x14ac:dyDescent="0.3">
      <c r="B111" s="322"/>
      <c r="C111" s="306"/>
      <c r="D111" s="323"/>
      <c r="E111" s="323"/>
    </row>
    <row r="112" spans="1:9" ht="13.9" hidden="1" x14ac:dyDescent="0.3">
      <c r="B112" s="306"/>
      <c r="C112" s="306"/>
      <c r="D112" s="306"/>
      <c r="E112" s="306"/>
    </row>
    <row r="113" spans="1:5" ht="13.9" hidden="1" x14ac:dyDescent="0.3">
      <c r="A113" s="303"/>
      <c r="B113" s="306"/>
      <c r="C113" s="306"/>
      <c r="D113" s="306"/>
      <c r="E113" s="306"/>
    </row>
    <row r="114" spans="1:5" ht="14.45" hidden="1" thickBot="1" x14ac:dyDescent="0.35">
      <c r="B114" s="321"/>
      <c r="C114" s="306"/>
      <c r="D114" s="321"/>
      <c r="E114" s="321"/>
    </row>
    <row r="115" spans="1:5" ht="13.9" hidden="1" x14ac:dyDescent="0.3">
      <c r="A115" s="287"/>
      <c r="B115" s="322"/>
      <c r="C115" s="306"/>
      <c r="D115" s="323"/>
      <c r="E115" s="323"/>
    </row>
    <row r="116" spans="1:5" ht="13.9" hidden="1" x14ac:dyDescent="0.3">
      <c r="A116" s="287"/>
      <c r="B116" s="322"/>
      <c r="C116" s="324"/>
      <c r="D116" s="323"/>
      <c r="E116" s="323"/>
    </row>
    <row r="117" spans="1:5" ht="13.9" hidden="1" x14ac:dyDescent="0.3">
      <c r="A117" s="287"/>
      <c r="B117" s="322"/>
      <c r="C117" s="306"/>
      <c r="D117" s="323"/>
      <c r="E117" s="323"/>
    </row>
    <row r="118" spans="1:5" ht="13.9" hidden="1" x14ac:dyDescent="0.3">
      <c r="A118" s="287"/>
      <c r="B118" s="322"/>
      <c r="C118" s="306"/>
      <c r="D118" s="323"/>
      <c r="E118" s="322"/>
    </row>
    <row r="119" spans="1:5" ht="13.9" hidden="1" x14ac:dyDescent="0.3">
      <c r="A119" s="287"/>
      <c r="B119" s="322"/>
      <c r="C119" s="306"/>
      <c r="D119" s="323"/>
      <c r="E119" s="323"/>
    </row>
    <row r="120" spans="1:5" ht="13.9" hidden="1" x14ac:dyDescent="0.3">
      <c r="A120" s="287"/>
      <c r="B120" s="322"/>
      <c r="C120" s="306"/>
      <c r="D120" s="323"/>
      <c r="E120" s="323"/>
    </row>
    <row r="121" spans="1:5" ht="13.9" hidden="1" x14ac:dyDescent="0.3">
      <c r="A121" s="287"/>
      <c r="B121" s="322"/>
      <c r="C121" s="306"/>
      <c r="D121" s="323"/>
      <c r="E121" s="323"/>
    </row>
    <row r="122" spans="1:5" ht="13.9" hidden="1" x14ac:dyDescent="0.3">
      <c r="A122" s="287"/>
      <c r="B122" s="322"/>
      <c r="C122" s="306"/>
      <c r="D122" s="323"/>
      <c r="E122" s="323"/>
    </row>
    <row r="123" spans="1:5" ht="13.9" hidden="1" x14ac:dyDescent="0.3">
      <c r="B123" s="322"/>
      <c r="C123" s="306"/>
      <c r="D123" s="323"/>
      <c r="E123" s="323"/>
    </row>
    <row r="124" spans="1:5" ht="13.9" hidden="1" x14ac:dyDescent="0.3">
      <c r="C124" s="291"/>
      <c r="D124" s="317"/>
    </row>
    <row r="125" spans="1:5" ht="13.9" hidden="1" x14ac:dyDescent="0.3">
      <c r="A125" s="298"/>
      <c r="B125" s="298"/>
      <c r="C125" s="298"/>
      <c r="D125" s="298"/>
    </row>
    <row r="126" spans="1:5" ht="13.9" hidden="1" x14ac:dyDescent="0.3">
      <c r="A126" s="303"/>
      <c r="B126" s="298"/>
      <c r="C126" s="298"/>
      <c r="D126" s="298"/>
    </row>
    <row r="127" spans="1:5" ht="14.45" hidden="1" thickBot="1" x14ac:dyDescent="0.35">
      <c r="B127" s="325"/>
      <c r="D127" s="321"/>
      <c r="E127" s="321"/>
    </row>
    <row r="128" spans="1:5" ht="13.9" hidden="1" x14ac:dyDescent="0.3">
      <c r="A128" s="287"/>
      <c r="B128" s="322"/>
      <c r="C128" s="326"/>
      <c r="D128" s="323"/>
      <c r="E128" s="323"/>
    </row>
    <row r="129" spans="1:5" ht="13.9" hidden="1" x14ac:dyDescent="0.3">
      <c r="A129" s="287"/>
      <c r="B129" s="322"/>
      <c r="C129" s="326"/>
      <c r="D129" s="323"/>
      <c r="E129" s="323"/>
    </row>
    <row r="130" spans="1:5" ht="13.9" hidden="1" x14ac:dyDescent="0.3">
      <c r="A130" s="287"/>
      <c r="B130" s="322"/>
      <c r="C130" s="326"/>
      <c r="D130" s="323"/>
      <c r="E130" s="323"/>
    </row>
    <row r="131" spans="1:5" ht="13.9" hidden="1" x14ac:dyDescent="0.3">
      <c r="A131" s="287"/>
      <c r="B131" s="322"/>
      <c r="C131" s="326"/>
      <c r="D131" s="323"/>
      <c r="E131" s="323"/>
    </row>
    <row r="132" spans="1:5" ht="13.9" hidden="1" x14ac:dyDescent="0.3">
      <c r="B132" s="322"/>
      <c r="C132" s="326"/>
      <c r="D132" s="323"/>
      <c r="E132" s="323"/>
    </row>
    <row r="133" spans="1:5" ht="13.9" hidden="1" x14ac:dyDescent="0.3">
      <c r="B133" s="322"/>
      <c r="C133" s="326"/>
      <c r="D133" s="323"/>
      <c r="E133" s="323"/>
    </row>
    <row r="134" spans="1:5" ht="13.9" hidden="1" x14ac:dyDescent="0.3">
      <c r="B134" s="306"/>
      <c r="C134" s="306"/>
      <c r="D134" s="306"/>
      <c r="E134" s="306"/>
    </row>
    <row r="135" spans="1:5" ht="13.9" hidden="1" x14ac:dyDescent="0.3">
      <c r="A135" s="303"/>
      <c r="B135" s="306"/>
      <c r="C135" s="306"/>
      <c r="D135" s="306"/>
      <c r="E135" s="306"/>
    </row>
    <row r="136" spans="1:5" ht="14.45" hidden="1" thickBot="1" x14ac:dyDescent="0.35">
      <c r="B136" s="325"/>
      <c r="C136" s="306"/>
      <c r="D136" s="321"/>
      <c r="E136" s="321"/>
    </row>
    <row r="137" spans="1:5" ht="13.9" hidden="1" x14ac:dyDescent="0.3">
      <c r="A137" s="287"/>
      <c r="B137" s="322"/>
      <c r="C137" s="306"/>
      <c r="D137" s="323"/>
      <c r="E137" s="323"/>
    </row>
    <row r="138" spans="1:5" ht="13.9" hidden="1" x14ac:dyDescent="0.3">
      <c r="A138" s="287"/>
      <c r="B138" s="322"/>
      <c r="C138" s="324"/>
      <c r="D138" s="323"/>
      <c r="E138" s="323"/>
    </row>
    <row r="139" spans="1:5" ht="13.9" hidden="1" x14ac:dyDescent="0.3">
      <c r="A139" s="287"/>
      <c r="B139" s="322"/>
      <c r="C139" s="306"/>
      <c r="D139" s="323"/>
      <c r="E139" s="323"/>
    </row>
    <row r="140" spans="1:5" ht="13.9" hidden="1" x14ac:dyDescent="0.3">
      <c r="A140" s="287"/>
      <c r="B140" s="322"/>
      <c r="C140" s="306"/>
      <c r="D140" s="323"/>
      <c r="E140" s="322"/>
    </row>
    <row r="141" spans="1:5" hidden="1" x14ac:dyDescent="0.2">
      <c r="A141" s="287"/>
      <c r="B141" s="322"/>
      <c r="C141" s="306"/>
      <c r="D141" s="323"/>
      <c r="E141" s="323"/>
    </row>
    <row r="142" spans="1:5" hidden="1" x14ac:dyDescent="0.2">
      <c r="A142" s="287"/>
      <c r="B142" s="322"/>
      <c r="C142" s="306"/>
      <c r="D142" s="323"/>
      <c r="E142" s="323"/>
    </row>
    <row r="143" spans="1:5" hidden="1" x14ac:dyDescent="0.2">
      <c r="A143" s="287"/>
      <c r="B143" s="322"/>
      <c r="C143" s="306"/>
      <c r="D143" s="323"/>
      <c r="E143" s="323"/>
    </row>
    <row r="144" spans="1:5" hidden="1" x14ac:dyDescent="0.2">
      <c r="A144" s="287"/>
      <c r="B144" s="322"/>
      <c r="C144" s="306"/>
      <c r="D144" s="323"/>
      <c r="E144" s="323"/>
    </row>
    <row r="145" spans="1:8" hidden="1" x14ac:dyDescent="0.2">
      <c r="B145" s="322"/>
      <c r="C145" s="306"/>
      <c r="D145" s="323"/>
      <c r="E145" s="323"/>
    </row>
    <row r="146" spans="1:8" hidden="1" x14ac:dyDescent="0.2">
      <c r="C146" s="291"/>
      <c r="D146" s="317"/>
    </row>
    <row r="147" spans="1:8" hidden="1" x14ac:dyDescent="0.2">
      <c r="C147" s="291"/>
      <c r="D147" s="317"/>
    </row>
    <row r="148" spans="1:8" hidden="1" x14ac:dyDescent="0.2">
      <c r="C148" s="291"/>
      <c r="D148" s="327"/>
      <c r="E148" s="306"/>
      <c r="F148" s="306"/>
      <c r="G148" s="306"/>
    </row>
    <row r="149" spans="1:8" x14ac:dyDescent="0.2">
      <c r="B149" s="287"/>
      <c r="C149" s="291"/>
      <c r="D149" s="291"/>
      <c r="E149" s="306"/>
      <c r="F149" s="324"/>
      <c r="G149" s="306"/>
    </row>
    <row r="150" spans="1:8" x14ac:dyDescent="0.2">
      <c r="B150" s="287"/>
      <c r="C150" s="291"/>
      <c r="D150" s="291"/>
      <c r="E150" s="306"/>
      <c r="F150" s="324"/>
      <c r="G150" s="306"/>
    </row>
    <row r="151" spans="1:8" x14ac:dyDescent="0.2">
      <c r="B151" s="287"/>
      <c r="C151" s="291"/>
      <c r="D151" s="291"/>
      <c r="E151" s="306"/>
      <c r="F151" s="324"/>
      <c r="G151" s="306"/>
    </row>
    <row r="152" spans="1:8" x14ac:dyDescent="0.2">
      <c r="C152" s="328"/>
      <c r="D152" s="317"/>
    </row>
    <row r="153" spans="1:8" x14ac:dyDescent="0.2">
      <c r="B153" s="291"/>
    </row>
    <row r="154" spans="1:8" x14ac:dyDescent="0.2">
      <c r="A154" s="287"/>
      <c r="F154" s="320"/>
      <c r="H154" s="291"/>
    </row>
    <row r="155" spans="1:8" x14ac:dyDescent="0.2">
      <c r="A155" s="287"/>
      <c r="D155" s="329"/>
      <c r="F155" s="320"/>
      <c r="H155" s="291"/>
    </row>
    <row r="156" spans="1:8" x14ac:dyDescent="0.2">
      <c r="A156" s="287"/>
    </row>
    <row r="158" spans="1:8" x14ac:dyDescent="0.2">
      <c r="C158" s="330"/>
    </row>
    <row r="159" spans="1:8" x14ac:dyDescent="0.2">
      <c r="C159" s="331"/>
      <c r="D159" s="291"/>
    </row>
    <row r="163" spans="1:11" x14ac:dyDescent="0.2">
      <c r="B163" s="291"/>
    </row>
    <row r="165" spans="1:11" x14ac:dyDescent="0.2">
      <c r="C165" s="291"/>
    </row>
    <row r="166" spans="1:11" x14ac:dyDescent="0.2">
      <c r="C166" s="320"/>
    </row>
    <row r="167" spans="1:11" x14ac:dyDescent="0.2">
      <c r="C167" s="320"/>
    </row>
    <row r="169" spans="1:11" x14ac:dyDescent="0.2">
      <c r="C169" s="306"/>
    </row>
    <row r="171" spans="1:11" x14ac:dyDescent="0.2">
      <c r="F171" s="317"/>
      <c r="G171" s="317"/>
    </row>
    <row r="172" spans="1:11" x14ac:dyDescent="0.2">
      <c r="F172" s="317"/>
      <c r="G172" s="317"/>
    </row>
    <row r="173" spans="1:11" x14ac:dyDescent="0.2">
      <c r="F173" s="317"/>
      <c r="G173" s="317"/>
      <c r="J173" s="332"/>
      <c r="K173" s="332"/>
    </row>
    <row r="174" spans="1:11" s="332" customFormat="1" x14ac:dyDescent="0.2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</row>
    <row r="175" spans="1:11" x14ac:dyDescent="0.2">
      <c r="J175" s="332"/>
      <c r="K175" s="332"/>
    </row>
    <row r="176" spans="1:11" s="332" customFormat="1" x14ac:dyDescent="0.2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</row>
    <row r="231" spans="2:3" x14ac:dyDescent="0.2">
      <c r="C231" s="291"/>
    </row>
    <row r="232" spans="2:3" x14ac:dyDescent="0.2">
      <c r="C232" s="291"/>
    </row>
    <row r="233" spans="2:3" x14ac:dyDescent="0.2">
      <c r="C233" s="291"/>
    </row>
    <row r="234" spans="2:3" x14ac:dyDescent="0.2">
      <c r="C234" s="291"/>
    </row>
    <row r="235" spans="2:3" x14ac:dyDescent="0.2">
      <c r="C235" s="291"/>
    </row>
    <row r="236" spans="2:3" x14ac:dyDescent="0.2">
      <c r="C236" s="291"/>
    </row>
    <row r="237" spans="2:3" x14ac:dyDescent="0.2">
      <c r="B237" s="291"/>
      <c r="C237" s="291"/>
    </row>
    <row r="238" spans="2:3" x14ac:dyDescent="0.2">
      <c r="B238" s="291"/>
      <c r="C238" s="291"/>
    </row>
    <row r="239" spans="2:3" x14ac:dyDescent="0.2">
      <c r="B239" s="291"/>
      <c r="C239" s="291"/>
    </row>
    <row r="240" spans="2:3" x14ac:dyDescent="0.2">
      <c r="C240" s="291"/>
    </row>
    <row r="241" spans="3:3" x14ac:dyDescent="0.2">
      <c r="C241" s="291"/>
    </row>
    <row r="242" spans="3:3" x14ac:dyDescent="0.2">
      <c r="C242" s="291"/>
    </row>
    <row r="243" spans="3:3" x14ac:dyDescent="0.2">
      <c r="C243" s="291"/>
    </row>
    <row r="244" spans="3:3" x14ac:dyDescent="0.2">
      <c r="C244" s="291"/>
    </row>
    <row r="245" spans="3:3" x14ac:dyDescent="0.2">
      <c r="C245" s="291"/>
    </row>
    <row r="248" spans="3:3" x14ac:dyDescent="0.2">
      <c r="C248" s="291"/>
    </row>
    <row r="249" spans="3:3" x14ac:dyDescent="0.2">
      <c r="C249" s="291"/>
    </row>
    <row r="250" spans="3:3" x14ac:dyDescent="0.2">
      <c r="C250" s="291"/>
    </row>
    <row r="253" spans="3:3" x14ac:dyDescent="0.2">
      <c r="C253" s="291"/>
    </row>
    <row r="254" spans="3:3" x14ac:dyDescent="0.2">
      <c r="C254" s="291"/>
    </row>
    <row r="255" spans="3:3" x14ac:dyDescent="0.2">
      <c r="C255" s="291"/>
    </row>
    <row r="258" spans="3:4" x14ac:dyDescent="0.2">
      <c r="C258" s="291"/>
    </row>
    <row r="259" spans="3:4" x14ac:dyDescent="0.2">
      <c r="C259" s="291"/>
    </row>
    <row r="260" spans="3:4" x14ac:dyDescent="0.2">
      <c r="C260" s="291"/>
      <c r="D260" s="320"/>
    </row>
    <row r="261" spans="3:4" x14ac:dyDescent="0.2">
      <c r="D261" s="320"/>
    </row>
  </sheetData>
  <sheetProtection password="9B85" sheet="1" objects="1" scenarios="1"/>
  <dataConsolidate/>
  <mergeCells count="29">
    <mergeCell ref="B68:D68"/>
    <mergeCell ref="B69:D69"/>
    <mergeCell ref="B56:D56"/>
    <mergeCell ref="C8:F8"/>
    <mergeCell ref="C7:F7"/>
    <mergeCell ref="E9:F9"/>
    <mergeCell ref="C11:D11"/>
    <mergeCell ref="B29:D29"/>
    <mergeCell ref="B53:D53"/>
    <mergeCell ref="B54:D54"/>
    <mergeCell ref="B65:D65"/>
    <mergeCell ref="B66:D66"/>
    <mergeCell ref="B67:D67"/>
    <mergeCell ref="B71:D71"/>
    <mergeCell ref="B32:D32"/>
    <mergeCell ref="B33:D33"/>
    <mergeCell ref="B34:D34"/>
    <mergeCell ref="B41:D41"/>
    <mergeCell ref="B42:D42"/>
    <mergeCell ref="B57:D57"/>
    <mergeCell ref="B50:D50"/>
    <mergeCell ref="B55:D55"/>
    <mergeCell ref="B63:D63"/>
    <mergeCell ref="B64:D64"/>
    <mergeCell ref="B62:D62"/>
    <mergeCell ref="B70:D70"/>
    <mergeCell ref="B43:D43"/>
    <mergeCell ref="B51:D51"/>
    <mergeCell ref="B52:D52"/>
  </mergeCells>
  <conditionalFormatting sqref="F29">
    <cfRule type="expression" dxfId="65" priority="11">
      <formula>"$B$16=Blad3!$B$4"</formula>
    </cfRule>
  </conditionalFormatting>
  <conditionalFormatting sqref="K50:K57">
    <cfRule type="expression" dxfId="64" priority="10">
      <formula>$E50=0</formula>
    </cfRule>
  </conditionalFormatting>
  <conditionalFormatting sqref="K63">
    <cfRule type="expression" dxfId="63" priority="9">
      <formula>E63=0</formula>
    </cfRule>
  </conditionalFormatting>
  <conditionalFormatting sqref="E44">
    <cfRule type="expression" dxfId="62" priority="7">
      <formula>$E$44&lt;100</formula>
    </cfRule>
    <cfRule type="expression" dxfId="61" priority="8">
      <formula>$E$44&gt;100</formula>
    </cfRule>
  </conditionalFormatting>
  <conditionalFormatting sqref="C45:G45">
    <cfRule type="expression" dxfId="60" priority="5">
      <formula>$E$44&lt;100</formula>
    </cfRule>
    <cfRule type="expression" dxfId="59" priority="6">
      <formula>$E$44&gt;100</formula>
    </cfRule>
  </conditionalFormatting>
  <conditionalFormatting sqref="E45">
    <cfRule type="expression" dxfId="58" priority="4">
      <formula>$E$44=100</formula>
    </cfRule>
  </conditionalFormatting>
  <conditionalFormatting sqref="K65:K69">
    <cfRule type="expression" dxfId="57" priority="2">
      <formula>E65=0</formula>
    </cfRule>
  </conditionalFormatting>
  <conditionalFormatting sqref="K64">
    <cfRule type="expression" dxfId="56" priority="3">
      <formula>E64=0</formula>
    </cfRule>
  </conditionalFormatting>
  <dataValidations xWindow="426" yWindow="388" count="10">
    <dataValidation allowBlank="1" showInputMessage="1" showErrorMessage="1" prompt="Volwassen gewicht ca. 500 kg_x000a_Bijv. kruising Jersey*HF" sqref="C15"/>
    <dataValidation allowBlank="1" showInputMessage="1" showErrorMessage="1" prompt="Volwassen gewicht ca. 400 kg_x000a_bijv. Jersey, Guernsey" sqref="C14"/>
    <dataValidation allowBlank="1" showInputMessage="1" showErrorMessage="1" prompt="Volwassen gewicht 600-700 kg _x000a_Bijv. (Red)-Holstein Friesian, FH, MRIJ, Brown Swiss, Fleckvieh, Montbeliare" sqref="C13"/>
    <dataValidation allowBlank="1" showInputMessage="1" showErrorMessage="1" prompt="Bijvoeding naast beweiding met graskuil en grashooi in kg drogestof per koe per dag" sqref="E32"/>
    <dataValidation allowBlank="1" showInputMessage="1" showErrorMessage="1" prompt="Bijvoeding naast beweiding met snijmais en graan GPS in kg drogestof per koe per dag" sqref="E33"/>
    <dataValidation allowBlank="1" showInputMessage="1" showErrorMessage="1" prompt="Bijvoeding naast beweiding met overige ruwvoeders in kg drogestof per koe per dag" sqref="E34"/>
    <dataValidation allowBlank="1" showInputMessage="1" showErrorMessage="1" prompt="Vul hier het aandeel graskuil en hooi in als percentage % van de drogestof opname uit ruwvoer exclusief natte bijproducten_x000a_" sqref="E41"/>
    <dataValidation allowBlank="1" showInputMessage="1" showErrorMessage="1" prompt="Vul hier aandeel snijmais in als percentage % van de drogestof opname uit ruwvoer exclusief natte bijproducten" sqref="E42"/>
    <dataValidation allowBlank="1" showInputMessage="1" showErrorMessage="1" prompt="Vul hier het percentage overige ruwvoerders in als percentage % van de drogestof opname uit ruwvoer exclusief natte bijproducten" sqref="E43"/>
    <dataValidation allowBlank="1" showInputMessage="1" showErrorMessage="1" prompt="De geschatte drogestofopname uit ruwvoer EXCLUSIEF vochtrijke krachtvoeders en bijproducten" sqref="E37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AA3B50D8-B15E-4165-95C9-4D10D2079047}">
            <xm:f>ACHTER_INVOER!$O$12=LIJSTJES!$B$5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46" id="{81067CC7-F18B-4F85-9377-8FA32993EF0E}">
            <xm:f>ACHTER_INVOER!$O$14=LIJSTJES!$B$5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3" id="{F072D42A-9506-48F5-8020-25285619FF56}">
            <xm:f>$B$29=LIJSTJES!$B$5</xm:f>
            <x14:dxf>
              <font>
                <color theme="0"/>
              </font>
            </x14:dxf>
          </x14:cfRule>
          <xm:sqref>E29</xm:sqref>
        </x14:conditionalFormatting>
        <x14:conditionalFormatting xmlns:xm="http://schemas.microsoft.com/office/excel/2006/main">
          <x14:cfRule type="expression" priority="12" id="{6BAD6032-5831-449B-A154-9228B9032FB9}">
            <xm:f>$B$29=LIJSTJES!$B$5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F29:G29</xm:sqref>
        </x14:conditionalFormatting>
        <x14:conditionalFormatting xmlns:xm="http://schemas.microsoft.com/office/excel/2006/main">
          <x14:cfRule type="expression" priority="1" id="{CD94258C-75D3-4AC1-AC5D-665826510B8F}">
            <xm:f>$B$29=LIJSTJES!$B$5</xm:f>
            <x14:dxf>
              <font>
                <color theme="0"/>
              </font>
              <fill>
                <patternFill patternType="solid">
                  <bgColor theme="0"/>
                </patternFill>
              </fill>
            </x14:dxf>
          </x14:cfRule>
          <xm:sqref>A31:G35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26" yWindow="388" count="4">
        <x14:dataValidation type="list" allowBlank="1" showInputMessage="1" showErrorMessage="1" prompt="Klik op het pijltje voor een keuzelijst">
          <x14:formula1>
            <xm:f>LIJSTJES!$G$2:$G$3</xm:f>
          </x14:formula1>
          <xm:sqref>F62:F71</xm:sqref>
        </x14:dataValidation>
        <x14:dataValidation type="list" allowBlank="1" showInputMessage="1" showErrorMessage="1">
          <x14:formula1>
            <xm:f>LIJSTJES!$G$2:$G$3</xm:f>
          </x14:formula1>
          <xm:sqref>F58:F60</xm:sqref>
        </x14:dataValidation>
        <x14:dataValidation type="list" allowBlank="1" showInputMessage="1" showErrorMessage="1" prompt="Klik op het pijltje cel voor keuzelijst">
          <x14:formula1>
            <xm:f>LIJSTJES!$B$2:$B$7</xm:f>
          </x14:formula1>
          <xm:sqref>B29</xm:sqref>
        </x14:dataValidation>
        <x14:dataValidation type="list" allowBlank="1" showInputMessage="1" showErrorMessage="1">
          <x14:formula1>
            <xm:f>LIJSTJES!$B$10:$B$21</xm:f>
          </x14:formula1>
          <xm:sqref>C11:D11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RowColHeaders="0" workbookViewId="0">
      <selection activeCell="H38" sqref="H38"/>
    </sheetView>
  </sheetViews>
  <sheetFormatPr defaultColWidth="9.140625" defaultRowHeight="12.75" x14ac:dyDescent="0.2"/>
  <cols>
    <col min="1" max="1" width="27.7109375" style="83" customWidth="1"/>
    <col min="2" max="2" width="7.5703125" style="83" customWidth="1"/>
    <col min="3" max="3" width="9.140625" style="83"/>
    <col min="4" max="4" width="11" style="83" customWidth="1"/>
    <col min="5" max="5" width="10.28515625" style="83" customWidth="1"/>
    <col min="6" max="6" width="11.28515625" style="83" customWidth="1"/>
    <col min="7" max="7" width="8.7109375" style="83" customWidth="1"/>
    <col min="8" max="16384" width="9.140625" style="83"/>
  </cols>
  <sheetData>
    <row r="1" spans="1:10" x14ac:dyDescent="0.2">
      <c r="A1" s="91" t="s">
        <v>269</v>
      </c>
    </row>
    <row r="3" spans="1:10" x14ac:dyDescent="0.2">
      <c r="A3" s="508" t="s">
        <v>272</v>
      </c>
      <c r="B3" s="469" t="str">
        <f>INVOERPAGINA!C7</f>
        <v>P. Toets</v>
      </c>
      <c r="C3" s="463"/>
      <c r="D3" s="463"/>
      <c r="E3" s="463"/>
      <c r="F3" s="463"/>
      <c r="G3" s="463"/>
      <c r="H3" s="286"/>
      <c r="I3" s="286"/>
      <c r="J3" s="286"/>
    </row>
    <row r="4" spans="1:10" x14ac:dyDescent="0.2">
      <c r="A4" s="508" t="s">
        <v>271</v>
      </c>
      <c r="B4" s="469" t="str">
        <f>INVOERPAGINA!C8</f>
        <v>Hennig Brandstraat 15</v>
      </c>
      <c r="C4" s="463"/>
      <c r="D4" s="463"/>
      <c r="E4" s="463"/>
      <c r="F4" s="463"/>
      <c r="G4" s="463"/>
      <c r="H4" s="286"/>
      <c r="I4" s="286"/>
      <c r="J4" s="286"/>
    </row>
    <row r="5" spans="1:10" x14ac:dyDescent="0.2">
      <c r="A5" s="508" t="s">
        <v>270</v>
      </c>
      <c r="B5" s="469" t="str">
        <f>INVOERPAGINA!C9</f>
        <v>9999ZZ</v>
      </c>
      <c r="C5" s="463"/>
      <c r="D5" s="469" t="str">
        <f>INVOERPAGINA!E9</f>
        <v>Juinen</v>
      </c>
      <c r="E5" s="463"/>
      <c r="F5" s="463"/>
      <c r="G5" s="463"/>
      <c r="H5" s="286"/>
      <c r="I5" s="286"/>
      <c r="J5" s="286"/>
    </row>
    <row r="6" spans="1:10" x14ac:dyDescent="0.2">
      <c r="A6" s="463"/>
      <c r="B6" s="463"/>
      <c r="C6" s="463"/>
      <c r="D6" s="463"/>
      <c r="E6" s="463"/>
      <c r="F6" s="463"/>
      <c r="G6" s="463"/>
    </row>
    <row r="7" spans="1:10" x14ac:dyDescent="0.2">
      <c r="A7" s="463"/>
      <c r="B7" s="508" t="str">
        <f>INVOERPAGINA!B13</f>
        <v>% Grote Rassen</v>
      </c>
      <c r="C7" s="463">
        <f>INVOERPAGINA!C13</f>
        <v>100</v>
      </c>
      <c r="D7" s="463"/>
      <c r="E7" s="463"/>
      <c r="F7" s="508" t="str">
        <f>INVOERPAGINA!B18</f>
        <v>Afgeleverde melk (kg/jaar)</v>
      </c>
      <c r="G7" s="536">
        <f>INVOERPAGINA!C18</f>
        <v>736500</v>
      </c>
    </row>
    <row r="8" spans="1:10" x14ac:dyDescent="0.2">
      <c r="A8" s="463"/>
      <c r="B8" s="508" t="str">
        <f>INVOERPAGINA!B14</f>
        <v>% Klein ras</v>
      </c>
      <c r="C8" s="463">
        <f>INVOERPAGINA!C14</f>
        <v>0</v>
      </c>
      <c r="D8" s="463"/>
      <c r="E8" s="463"/>
      <c r="F8" s="508" t="str">
        <f>INVOERPAGINA!B19</f>
        <v>vet %</v>
      </c>
      <c r="G8" s="536">
        <f>INVOERPAGINA!C19</f>
        <v>4.45</v>
      </c>
    </row>
    <row r="9" spans="1:10" x14ac:dyDescent="0.2">
      <c r="A9" s="463"/>
      <c r="B9" s="508" t="str">
        <f>INVOERPAGINA!B15</f>
        <v>% Kruisingen met klein ras</v>
      </c>
      <c r="C9" s="463">
        <f>INVOERPAGINA!C15</f>
        <v>0</v>
      </c>
      <c r="D9" s="463"/>
      <c r="E9" s="463"/>
      <c r="F9" s="508" t="str">
        <f>INVOERPAGINA!B20</f>
        <v>eiwit %</v>
      </c>
      <c r="G9" s="537">
        <f>INVOERPAGINA!C20</f>
        <v>3.5</v>
      </c>
    </row>
    <row r="10" spans="1:10" x14ac:dyDescent="0.2">
      <c r="A10" s="463"/>
      <c r="B10" s="508" t="str">
        <f>INVOERPAGINA!B17</f>
        <v>Aantal melkkoeien</v>
      </c>
      <c r="C10" s="508">
        <f>INVOERPAGINA!C17</f>
        <v>100</v>
      </c>
      <c r="D10" s="463"/>
      <c r="E10" s="463"/>
      <c r="F10" s="508" t="str">
        <f>INVOERPAGINA!B21</f>
        <v>ureumgehalte (mg/100g)</v>
      </c>
      <c r="G10" s="536">
        <f>INVOERPAGINA!C21</f>
        <v>22</v>
      </c>
    </row>
    <row r="11" spans="1:10" x14ac:dyDescent="0.2">
      <c r="A11" s="463"/>
      <c r="B11" s="508" t="str">
        <f>INVOERPAGINA!B23</f>
        <v>Aaant stuks jongvee &lt; 1 jr</v>
      </c>
      <c r="C11" s="463">
        <f>INVOERPAGINA!C23</f>
        <v>40</v>
      </c>
      <c r="D11" s="463"/>
      <c r="E11" s="463"/>
      <c r="F11" s="463"/>
      <c r="G11" s="463"/>
    </row>
    <row r="12" spans="1:10" x14ac:dyDescent="0.2">
      <c r="A12" s="463"/>
      <c r="B12" s="508" t="str">
        <f>INVOERPAGINA!B25</f>
        <v>Aantal stuks jongvee &gt; 1 jr</v>
      </c>
      <c r="C12" s="463">
        <f>INVOERPAGINA!C25</f>
        <v>32.5</v>
      </c>
      <c r="D12" s="463"/>
      <c r="E12" s="463"/>
      <c r="F12" s="463"/>
      <c r="G12" s="463"/>
    </row>
    <row r="13" spans="1:10" x14ac:dyDescent="0.2">
      <c r="A13" s="463"/>
      <c r="B13" s="463"/>
      <c r="C13" s="463"/>
      <c r="D13" s="463"/>
      <c r="E13" s="463"/>
      <c r="F13" s="463"/>
      <c r="G13" s="463"/>
    </row>
    <row r="14" spans="1:10" x14ac:dyDescent="0.2">
      <c r="A14" s="463"/>
      <c r="B14" s="475"/>
      <c r="C14" s="475"/>
      <c r="D14" s="619" t="s">
        <v>263</v>
      </c>
      <c r="E14" s="620"/>
      <c r="F14" s="621" t="s">
        <v>300</v>
      </c>
      <c r="G14" s="622"/>
    </row>
    <row r="15" spans="1:10" x14ac:dyDescent="0.2">
      <c r="A15" s="463"/>
      <c r="B15" s="463"/>
      <c r="C15" s="508" t="s">
        <v>66</v>
      </c>
      <c r="D15" s="623" t="str">
        <f>INVOERPAGINA!B29</f>
        <v>Beperkt weiden (&gt; 6 uur/d weiden)</v>
      </c>
      <c r="E15" s="624"/>
      <c r="F15" s="623" t="str">
        <f>'RESULTAAT &amp; SIMULATIE'!J20</f>
        <v>Beperkt weiden (&gt; 6 uur/d weiden)</v>
      </c>
      <c r="G15" s="624"/>
    </row>
    <row r="16" spans="1:10" x14ac:dyDescent="0.2">
      <c r="A16" s="463"/>
      <c r="B16" s="463"/>
      <c r="C16" s="508"/>
      <c r="D16" s="624"/>
      <c r="E16" s="624"/>
      <c r="F16" s="624"/>
      <c r="G16" s="624"/>
    </row>
    <row r="17" spans="1:12" x14ac:dyDescent="0.2">
      <c r="A17" s="463"/>
      <c r="B17" s="463"/>
      <c r="C17" s="508" t="s">
        <v>277</v>
      </c>
      <c r="D17" s="463"/>
      <c r="E17" s="463"/>
      <c r="F17" s="463"/>
      <c r="G17" s="463"/>
    </row>
    <row r="18" spans="1:12" x14ac:dyDescent="0.2">
      <c r="A18" s="463"/>
      <c r="B18" s="463"/>
      <c r="C18" s="508" t="s">
        <v>273</v>
      </c>
      <c r="D18" s="463"/>
      <c r="E18" s="538">
        <f>IF(INVOERPAGINA!$B$29=LIJSTJES!$B$5,0,BEREKENING!J151)</f>
        <v>8.1805943015792426</v>
      </c>
      <c r="F18" s="539">
        <f>IF('RESULTAAT &amp; SIMULATIE'!$J$20=LIJSTJES!$B$5,0,ALT_BEREKENING!J151)</f>
        <v>8.1805943015792426</v>
      </c>
      <c r="G18" s="463"/>
    </row>
    <row r="19" spans="1:12" x14ac:dyDescent="0.2">
      <c r="A19" s="463"/>
      <c r="B19" s="463"/>
      <c r="C19" s="508" t="s">
        <v>274</v>
      </c>
      <c r="D19" s="463"/>
      <c r="E19" s="538">
        <f>BEREKENING!J152</f>
        <v>39.980795422990916</v>
      </c>
      <c r="F19" s="539">
        <f>ALT_BEREKENING!J152</f>
        <v>39.980795422990916</v>
      </c>
      <c r="G19" s="463"/>
    </row>
    <row r="20" spans="1:12" x14ac:dyDescent="0.2">
      <c r="A20" s="463"/>
      <c r="B20" s="463"/>
      <c r="C20" s="508" t="s">
        <v>276</v>
      </c>
      <c r="D20" s="463"/>
      <c r="E20" s="538">
        <f>BEREKENING!J153</f>
        <v>51.838610275429851</v>
      </c>
      <c r="F20" s="539">
        <f>ALT_BEREKENING!J153</f>
        <v>51.838610275429851</v>
      </c>
      <c r="G20" s="463"/>
    </row>
    <row r="21" spans="1:12" x14ac:dyDescent="0.2">
      <c r="A21" s="463"/>
      <c r="B21" s="463"/>
      <c r="C21" s="508" t="s">
        <v>275</v>
      </c>
      <c r="D21" s="463"/>
      <c r="E21" s="538">
        <f>BEREKENING!J154</f>
        <v>0</v>
      </c>
      <c r="F21" s="539">
        <f>ALT_BEREKENING!J154</f>
        <v>0</v>
      </c>
      <c r="G21" s="463"/>
    </row>
    <row r="22" spans="1:12" x14ac:dyDescent="0.2">
      <c r="A22" s="463"/>
      <c r="B22" s="463"/>
      <c r="C22" s="463"/>
      <c r="D22" s="463"/>
      <c r="E22" s="540"/>
      <c r="F22" s="463"/>
      <c r="G22" s="463"/>
      <c r="I22" s="86"/>
      <c r="L22" s="86"/>
    </row>
    <row r="23" spans="1:12" x14ac:dyDescent="0.2">
      <c r="A23" s="463"/>
      <c r="B23" s="463"/>
      <c r="C23" s="508" t="s">
        <v>280</v>
      </c>
      <c r="D23" s="463"/>
      <c r="E23" s="538">
        <f>'RESULTAAT &amp; SIMULATIE'!F6</f>
        <v>949.78286566544853</v>
      </c>
      <c r="F23" s="539">
        <f>'RESULTAAT &amp; SIMULATIE'!F7</f>
        <v>949.78286566544853</v>
      </c>
      <c r="G23" s="463"/>
    </row>
    <row r="24" spans="1:12" x14ac:dyDescent="0.2">
      <c r="A24" s="463"/>
      <c r="B24" s="463"/>
      <c r="C24" s="508" t="s">
        <v>278</v>
      </c>
      <c r="D24" s="463"/>
      <c r="E24" s="541">
        <f>'RESULTAAT &amp; SIMULATIE'!G6</f>
        <v>4.2166077506298461</v>
      </c>
      <c r="F24" s="542">
        <f>'RESULTAAT &amp; SIMULATIE'!G7</f>
        <v>4.2175336247287234</v>
      </c>
      <c r="G24" s="463"/>
    </row>
    <row r="25" spans="1:12" x14ac:dyDescent="0.2">
      <c r="A25" s="463"/>
      <c r="B25" s="463"/>
      <c r="C25" s="508" t="s">
        <v>279</v>
      </c>
      <c r="D25" s="463"/>
      <c r="E25" s="538">
        <f>'RESULTAAT &amp; SIMULATIE'!H6</f>
        <v>165.66788636608047</v>
      </c>
      <c r="F25" s="539">
        <f>'RESULTAAT &amp; SIMULATIE'!H7</f>
        <v>165.66788636608047</v>
      </c>
      <c r="G25" s="463"/>
    </row>
    <row r="26" spans="1:12" x14ac:dyDescent="0.2">
      <c r="A26" s="463"/>
      <c r="B26" s="463"/>
      <c r="C26" s="508" t="s">
        <v>282</v>
      </c>
      <c r="D26" s="463"/>
      <c r="E26" s="538">
        <f>'RESULTAAT &amp; SIMULATIE'!J6</f>
        <v>2196.5</v>
      </c>
      <c r="F26" s="539">
        <f>'RESULTAAT &amp; SIMULATIE'!J7</f>
        <v>2196.5</v>
      </c>
      <c r="G26" s="463"/>
    </row>
    <row r="27" spans="1:12" x14ac:dyDescent="0.2">
      <c r="A27" s="463"/>
      <c r="B27" s="463"/>
      <c r="C27" s="508" t="s">
        <v>281</v>
      </c>
      <c r="D27" s="463"/>
      <c r="E27" s="541">
        <f>'RESULTAAT &amp; SIMULATIE'!K6</f>
        <v>29.823489477257297</v>
      </c>
      <c r="F27" s="542">
        <f>'RESULTAAT &amp; SIMULATIE'!K7</f>
        <v>29.823489477257297</v>
      </c>
      <c r="G27" s="463"/>
    </row>
    <row r="28" spans="1:12" x14ac:dyDescent="0.2">
      <c r="A28" s="463"/>
      <c r="B28" s="463"/>
      <c r="C28" s="463"/>
      <c r="D28" s="463"/>
      <c r="E28" s="469"/>
      <c r="F28" s="469"/>
      <c r="G28" s="463"/>
    </row>
    <row r="29" spans="1:12" x14ac:dyDescent="0.2">
      <c r="A29" s="508" t="s">
        <v>283</v>
      </c>
      <c r="B29" s="463"/>
      <c r="C29" s="508" t="s">
        <v>301</v>
      </c>
      <c r="D29" s="463"/>
      <c r="E29" s="541">
        <f>'RESULTAAT &amp; SIMULATIE'!C6</f>
        <v>26.903253293420349</v>
      </c>
      <c r="F29" s="542">
        <f>'RESULTAAT &amp; SIMULATIE'!C7</f>
        <v>26.89734722897219</v>
      </c>
      <c r="G29" s="463"/>
    </row>
    <row r="30" spans="1:12" x14ac:dyDescent="0.2">
      <c r="A30" s="508"/>
      <c r="B30" s="463"/>
      <c r="C30" s="508" t="s">
        <v>309</v>
      </c>
      <c r="D30" s="463"/>
      <c r="E30" s="541"/>
      <c r="F30" s="542"/>
      <c r="G30" s="463"/>
    </row>
    <row r="31" spans="1:12" x14ac:dyDescent="0.2">
      <c r="A31" s="513"/>
      <c r="B31" s="513"/>
      <c r="C31" s="513" t="s">
        <v>310</v>
      </c>
      <c r="D31" s="513"/>
      <c r="E31" s="625">
        <f>'RESULTAAT &amp; SIMULATIE'!C9</f>
        <v>29</v>
      </c>
      <c r="F31" s="625"/>
      <c r="G31" s="513"/>
      <c r="H31" s="451"/>
    </row>
    <row r="32" spans="1:12" x14ac:dyDescent="0.2">
      <c r="A32" s="513"/>
      <c r="B32" s="513"/>
      <c r="C32" s="515" t="s">
        <v>311</v>
      </c>
      <c r="D32" s="513"/>
      <c r="E32" s="618">
        <f>'RESULTAAT &amp; SIMULATIE'!C10</f>
        <v>32</v>
      </c>
      <c r="F32" s="618"/>
      <c r="G32" s="513"/>
      <c r="H32" s="451"/>
    </row>
    <row r="33" spans="1:8" x14ac:dyDescent="0.2">
      <c r="A33" s="513"/>
      <c r="B33" s="513"/>
      <c r="C33" s="515" t="s">
        <v>313</v>
      </c>
      <c r="D33" s="513"/>
      <c r="E33" s="618">
        <f>'RESULTAAT &amp; SIMULATIE'!C11</f>
        <v>30</v>
      </c>
      <c r="F33" s="618"/>
      <c r="G33" s="513"/>
      <c r="H33" s="451"/>
    </row>
    <row r="34" spans="1:8" x14ac:dyDescent="0.2">
      <c r="A34" s="513"/>
      <c r="B34" s="513"/>
      <c r="C34" s="515" t="s">
        <v>312</v>
      </c>
      <c r="D34" s="513"/>
      <c r="E34" s="618">
        <f>'RESULTAAT &amp; SIMULATIE'!C12</f>
        <v>31</v>
      </c>
      <c r="F34" s="618"/>
      <c r="G34" s="513"/>
      <c r="H34" s="451"/>
    </row>
    <row r="35" spans="1:8" x14ac:dyDescent="0.2">
      <c r="A35" s="616" t="s">
        <v>305</v>
      </c>
      <c r="B35" s="617"/>
      <c r="C35" s="617"/>
      <c r="D35" s="617"/>
      <c r="E35" s="617"/>
      <c r="F35" s="617"/>
      <c r="G35" s="617"/>
    </row>
    <row r="36" spans="1:8" x14ac:dyDescent="0.2">
      <c r="A36" s="617"/>
      <c r="B36" s="617"/>
      <c r="C36" s="617"/>
      <c r="D36" s="617"/>
      <c r="E36" s="617"/>
      <c r="F36" s="617"/>
      <c r="G36" s="617"/>
    </row>
  </sheetData>
  <sheetProtection password="9B85" sheet="1" objects="1" scenarios="1"/>
  <mergeCells count="9">
    <mergeCell ref="A35:G36"/>
    <mergeCell ref="E33:F33"/>
    <mergeCell ref="E34:F34"/>
    <mergeCell ref="E32:F32"/>
    <mergeCell ref="D14:E14"/>
    <mergeCell ref="F14:G14"/>
    <mergeCell ref="D15:E16"/>
    <mergeCell ref="F15:G16"/>
    <mergeCell ref="E31:F3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67"/>
  <sheetViews>
    <sheetView topLeftCell="Z3" workbookViewId="0">
      <selection activeCell="AO27" sqref="AO27"/>
    </sheetView>
  </sheetViews>
  <sheetFormatPr defaultRowHeight="15" x14ac:dyDescent="0.25"/>
  <cols>
    <col min="3" max="3" width="16" customWidth="1"/>
    <col min="4" max="4" width="20.42578125" bestFit="1" customWidth="1"/>
    <col min="5" max="5" width="17.85546875" customWidth="1"/>
    <col min="6" max="6" width="13.85546875" customWidth="1"/>
    <col min="7" max="7" width="13.7109375" bestFit="1" customWidth="1"/>
    <col min="10" max="10" width="11.140625" bestFit="1" customWidth="1"/>
    <col min="13" max="13" width="13.7109375" bestFit="1" customWidth="1"/>
    <col min="20" max="20" width="21.42578125" bestFit="1" customWidth="1"/>
    <col min="31" max="31" width="5" bestFit="1" customWidth="1"/>
    <col min="32" max="32" width="12.85546875" bestFit="1" customWidth="1"/>
    <col min="33" max="33" width="14.5703125" bestFit="1" customWidth="1"/>
    <col min="34" max="34" width="10.140625" style="429" bestFit="1" customWidth="1"/>
    <col min="35" max="35" width="8.42578125" bestFit="1" customWidth="1"/>
    <col min="36" max="36" width="12.85546875" bestFit="1" customWidth="1"/>
    <col min="37" max="37" width="14.5703125" style="429" bestFit="1" customWidth="1"/>
    <col min="38" max="38" width="10.140625" bestFit="1" customWidth="1"/>
    <col min="39" max="39" width="8.42578125" bestFit="1" customWidth="1"/>
    <col min="40" max="40" width="12.85546875" style="429" bestFit="1" customWidth="1"/>
    <col min="41" max="41" width="14.5703125" bestFit="1" customWidth="1"/>
    <col min="42" max="42" width="10.140625" bestFit="1" customWidth="1"/>
    <col min="43" max="43" width="8.42578125" style="429" bestFit="1" customWidth="1"/>
  </cols>
  <sheetData>
    <row r="2" spans="3:43" x14ac:dyDescent="0.25">
      <c r="C2" t="s">
        <v>285</v>
      </c>
      <c r="D2">
        <v>3.12</v>
      </c>
    </row>
    <row r="3" spans="3:43" x14ac:dyDescent="0.25">
      <c r="C3" t="s">
        <v>286</v>
      </c>
      <c r="D3" t="s">
        <v>287</v>
      </c>
      <c r="E3" t="str">
        <f>D6</f>
        <v>N</v>
      </c>
      <c r="F3" t="s">
        <v>288</v>
      </c>
      <c r="G3" t="s">
        <v>289</v>
      </c>
      <c r="H3" t="s">
        <v>287</v>
      </c>
      <c r="I3" t="s">
        <v>290</v>
      </c>
    </row>
    <row r="4" spans="3:43" x14ac:dyDescent="0.25">
      <c r="D4" t="s">
        <v>286</v>
      </c>
      <c r="J4" t="s">
        <v>140</v>
      </c>
    </row>
    <row r="5" spans="3:43" x14ac:dyDescent="0.25">
      <c r="D5" t="s">
        <v>291</v>
      </c>
      <c r="G5" t="s">
        <v>292</v>
      </c>
      <c r="J5" t="s">
        <v>291</v>
      </c>
      <c r="M5" t="s">
        <v>292</v>
      </c>
    </row>
    <row r="6" spans="3:43" x14ac:dyDescent="0.25">
      <c r="C6" s="429"/>
      <c r="D6" s="431" t="s">
        <v>73</v>
      </c>
      <c r="E6" s="431" t="s">
        <v>3</v>
      </c>
      <c r="F6" s="431" t="s">
        <v>293</v>
      </c>
      <c r="G6" s="431" t="s">
        <v>73</v>
      </c>
      <c r="H6" s="431" t="s">
        <v>3</v>
      </c>
      <c r="I6" s="431" t="s">
        <v>293</v>
      </c>
      <c r="J6" t="s">
        <v>73</v>
      </c>
      <c r="K6" t="s">
        <v>3</v>
      </c>
      <c r="L6" t="s">
        <v>293</v>
      </c>
      <c r="M6" t="s">
        <v>73</v>
      </c>
      <c r="N6" t="s">
        <v>3</v>
      </c>
      <c r="O6" t="s">
        <v>293</v>
      </c>
      <c r="AF6" s="431" t="s">
        <v>304</v>
      </c>
      <c r="AG6" s="431"/>
      <c r="AH6" s="431"/>
      <c r="AI6" s="431"/>
      <c r="AN6" s="431"/>
      <c r="AO6" s="431"/>
      <c r="AP6" s="431"/>
      <c r="AQ6" s="431"/>
    </row>
    <row r="7" spans="3:43" x14ac:dyDescent="0.25">
      <c r="C7" t="s">
        <v>284</v>
      </c>
      <c r="D7" s="431"/>
      <c r="E7" s="431"/>
      <c r="F7" s="431"/>
      <c r="G7" s="431"/>
      <c r="H7" s="431"/>
      <c r="I7" s="431"/>
      <c r="AF7" s="431" t="s">
        <v>302</v>
      </c>
      <c r="AG7" s="431" t="s">
        <v>303</v>
      </c>
      <c r="AH7" s="431" t="s">
        <v>299</v>
      </c>
      <c r="AI7" s="431" t="s">
        <v>82</v>
      </c>
      <c r="AJ7" s="429" t="s">
        <v>302</v>
      </c>
      <c r="AK7" s="429" t="s">
        <v>303</v>
      </c>
      <c r="AL7" s="429" t="s">
        <v>299</v>
      </c>
      <c r="AM7" s="429" t="s">
        <v>82</v>
      </c>
      <c r="AN7" s="431" t="s">
        <v>302</v>
      </c>
      <c r="AO7" s="431" t="s">
        <v>303</v>
      </c>
      <c r="AP7" s="431" t="s">
        <v>299</v>
      </c>
      <c r="AQ7" s="431" t="s">
        <v>82</v>
      </c>
    </row>
    <row r="8" spans="3:43" x14ac:dyDescent="0.25">
      <c r="C8" t="s">
        <v>294</v>
      </c>
      <c r="D8" s="431" t="s">
        <v>295</v>
      </c>
      <c r="E8" s="431"/>
      <c r="F8" s="431"/>
      <c r="G8" s="431"/>
      <c r="H8" s="431"/>
      <c r="I8" s="431"/>
      <c r="T8" t="s">
        <v>294</v>
      </c>
      <c r="U8" s="429" t="s">
        <v>73</v>
      </c>
      <c r="V8" s="429" t="s">
        <v>297</v>
      </c>
      <c r="W8" s="429" t="s">
        <v>298</v>
      </c>
      <c r="AF8" s="431"/>
      <c r="AG8" s="431"/>
      <c r="AH8" s="431"/>
      <c r="AI8" s="431"/>
      <c r="AN8" s="431"/>
      <c r="AO8" s="431"/>
      <c r="AP8" s="431"/>
      <c r="AQ8" s="431"/>
    </row>
    <row r="9" spans="3:43" x14ac:dyDescent="0.25">
      <c r="C9">
        <v>1990</v>
      </c>
      <c r="D9" s="431">
        <v>74.8</v>
      </c>
      <c r="E9" s="431">
        <v>11.5</v>
      </c>
      <c r="F9" s="431">
        <v>53.1</v>
      </c>
      <c r="G9" s="431">
        <v>101</v>
      </c>
      <c r="H9" s="431">
        <v>12.3</v>
      </c>
      <c r="I9" s="431">
        <v>80.2</v>
      </c>
      <c r="J9">
        <v>16.3</v>
      </c>
      <c r="K9">
        <v>2.8</v>
      </c>
      <c r="L9">
        <v>4.7</v>
      </c>
      <c r="M9">
        <v>17.7</v>
      </c>
      <c r="N9">
        <v>3.1</v>
      </c>
      <c r="O9">
        <v>5.0999999999999996</v>
      </c>
      <c r="Q9">
        <f>(E9+H9)-(K9+N9)</f>
        <v>17.899999999999999</v>
      </c>
      <c r="R9" s="430">
        <f>(N9+K9)/(E9+H9)*100</f>
        <v>24.789915966386555</v>
      </c>
      <c r="T9">
        <v>1990</v>
      </c>
      <c r="U9">
        <v>141.6</v>
      </c>
      <c r="V9" s="430">
        <v>41</v>
      </c>
      <c r="W9">
        <v>148.9</v>
      </c>
      <c r="X9" s="430">
        <f>V9/2.29</f>
        <v>17.903930131004365</v>
      </c>
      <c r="AE9">
        <v>1990</v>
      </c>
      <c r="AF9" s="431">
        <v>12223</v>
      </c>
      <c r="AG9" s="431">
        <v>5522</v>
      </c>
      <c r="AH9" s="431">
        <v>6701</v>
      </c>
      <c r="AI9" s="431">
        <v>11600</v>
      </c>
      <c r="AJ9" s="429">
        <v>10966</v>
      </c>
      <c r="AK9" s="429">
        <v>5385</v>
      </c>
      <c r="AL9" s="429">
        <v>5581</v>
      </c>
      <c r="AM9" s="429">
        <v>12200</v>
      </c>
      <c r="AN9" s="431">
        <v>11563</v>
      </c>
      <c r="AO9" s="431">
        <v>5450</v>
      </c>
      <c r="AP9" s="431">
        <v>6113</v>
      </c>
      <c r="AQ9" s="431">
        <v>11700</v>
      </c>
    </row>
    <row r="10" spans="3:43" x14ac:dyDescent="0.25">
      <c r="C10">
        <v>1991</v>
      </c>
      <c r="D10" s="431">
        <v>79.099999999999994</v>
      </c>
      <c r="E10" s="431">
        <v>12.1</v>
      </c>
      <c r="F10" s="431">
        <v>60.7</v>
      </c>
      <c r="G10" s="431">
        <v>104.1</v>
      </c>
      <c r="H10" s="431">
        <v>11.9</v>
      </c>
      <c r="I10" s="431">
        <v>88.2</v>
      </c>
      <c r="J10">
        <v>16.5</v>
      </c>
      <c r="K10">
        <v>2.8</v>
      </c>
      <c r="L10">
        <v>4.7</v>
      </c>
      <c r="M10">
        <v>17.899999999999999</v>
      </c>
      <c r="N10">
        <v>3.1</v>
      </c>
      <c r="O10">
        <v>5.0999999999999996</v>
      </c>
      <c r="Q10" s="429">
        <f t="shared" ref="Q10:Q47" si="0">(E10+H10)-(K10+N10)</f>
        <v>18.100000000000001</v>
      </c>
      <c r="R10" s="430">
        <f t="shared" ref="R10:R47" si="1">(N10+K10)/(E10+H10)*100</f>
        <v>24.583333333333336</v>
      </c>
      <c r="T10">
        <v>1991</v>
      </c>
      <c r="U10">
        <v>148.80000000000001</v>
      </c>
      <c r="V10" s="430">
        <v>41.2</v>
      </c>
      <c r="W10">
        <v>167.7</v>
      </c>
      <c r="X10" s="430">
        <f t="shared" ref="X10:X67" si="2">V10/2.29</f>
        <v>17.991266375545852</v>
      </c>
      <c r="AE10">
        <v>1991</v>
      </c>
      <c r="AF10" s="431">
        <v>12577</v>
      </c>
      <c r="AG10" s="431">
        <v>5201</v>
      </c>
      <c r="AH10" s="431">
        <v>7376</v>
      </c>
      <c r="AI10" s="431">
        <v>11700</v>
      </c>
      <c r="AJ10" s="429">
        <v>11417</v>
      </c>
      <c r="AK10" s="429">
        <v>5436</v>
      </c>
      <c r="AL10" s="429">
        <v>5981</v>
      </c>
      <c r="AM10" s="429">
        <v>10600</v>
      </c>
      <c r="AN10" s="431">
        <v>11966</v>
      </c>
      <c r="AO10" s="431">
        <v>5325</v>
      </c>
      <c r="AP10" s="431">
        <v>6641</v>
      </c>
      <c r="AQ10" s="431">
        <v>11600</v>
      </c>
    </row>
    <row r="11" spans="3:43" x14ac:dyDescent="0.25">
      <c r="C11">
        <v>1992</v>
      </c>
      <c r="D11" s="431">
        <v>73.400000000000006</v>
      </c>
      <c r="E11" s="431">
        <v>10.8</v>
      </c>
      <c r="F11" s="431">
        <v>55.2</v>
      </c>
      <c r="G11" s="431">
        <v>109.4</v>
      </c>
      <c r="H11" s="431">
        <v>12.5</v>
      </c>
      <c r="I11" s="431">
        <v>90.6</v>
      </c>
      <c r="J11">
        <v>16.7</v>
      </c>
      <c r="K11">
        <v>2.9</v>
      </c>
      <c r="L11">
        <v>4.7</v>
      </c>
      <c r="M11">
        <v>18.100000000000001</v>
      </c>
      <c r="N11">
        <v>3.1</v>
      </c>
      <c r="O11">
        <v>5.0999999999999996</v>
      </c>
      <c r="Q11" s="429">
        <f t="shared" si="0"/>
        <v>17.3</v>
      </c>
      <c r="R11" s="430">
        <f t="shared" si="1"/>
        <v>25.751072961373389</v>
      </c>
      <c r="T11">
        <v>1992</v>
      </c>
      <c r="U11">
        <v>148</v>
      </c>
      <c r="V11" s="430">
        <v>39.700000000000003</v>
      </c>
      <c r="W11">
        <v>163.80000000000001</v>
      </c>
      <c r="X11" s="430">
        <f t="shared" si="2"/>
        <v>17.336244541484717</v>
      </c>
      <c r="AE11">
        <v>1992</v>
      </c>
      <c r="AF11" s="431">
        <v>13538</v>
      </c>
      <c r="AG11" s="431">
        <v>5258</v>
      </c>
      <c r="AH11" s="431">
        <v>8280</v>
      </c>
      <c r="AI11" s="431">
        <v>11900</v>
      </c>
      <c r="AJ11" s="429">
        <v>12670</v>
      </c>
      <c r="AK11" s="429">
        <v>5774</v>
      </c>
      <c r="AL11" s="429">
        <v>6896</v>
      </c>
      <c r="AM11" s="429">
        <v>12300</v>
      </c>
      <c r="AN11" s="431">
        <v>13080</v>
      </c>
      <c r="AO11" s="431">
        <v>5530</v>
      </c>
      <c r="AP11" s="431">
        <v>7550</v>
      </c>
      <c r="AQ11" s="431">
        <v>11900</v>
      </c>
    </row>
    <row r="12" spans="3:43" x14ac:dyDescent="0.25">
      <c r="C12">
        <v>1993</v>
      </c>
      <c r="D12" s="431">
        <v>77.599999999999994</v>
      </c>
      <c r="E12" s="431">
        <v>11.9</v>
      </c>
      <c r="F12" s="431">
        <v>57.2</v>
      </c>
      <c r="G12" s="431">
        <v>105.3</v>
      </c>
      <c r="H12" s="431">
        <v>13.2</v>
      </c>
      <c r="I12" s="431">
        <v>93.1</v>
      </c>
      <c r="J12">
        <v>17.100000000000001</v>
      </c>
      <c r="K12">
        <v>2.9</v>
      </c>
      <c r="L12">
        <v>4.8</v>
      </c>
      <c r="M12">
        <v>18.5</v>
      </c>
      <c r="N12">
        <v>3.2</v>
      </c>
      <c r="O12">
        <v>5.3</v>
      </c>
      <c r="Q12" s="429">
        <f t="shared" si="0"/>
        <v>19</v>
      </c>
      <c r="R12" s="430">
        <f t="shared" si="1"/>
        <v>24.30278884462151</v>
      </c>
      <c r="T12">
        <v>1993</v>
      </c>
      <c r="U12">
        <v>147.19999999999999</v>
      </c>
      <c r="V12" s="430">
        <v>43.5</v>
      </c>
      <c r="W12">
        <v>168.9</v>
      </c>
      <c r="X12" s="430">
        <f t="shared" si="2"/>
        <v>18.995633187772924</v>
      </c>
      <c r="AE12">
        <v>1993</v>
      </c>
      <c r="AF12" s="431">
        <v>13132</v>
      </c>
      <c r="AG12" s="431">
        <v>5678</v>
      </c>
      <c r="AH12" s="431">
        <v>7454</v>
      </c>
      <c r="AI12" s="431">
        <v>12900</v>
      </c>
      <c r="AJ12" s="429">
        <v>11210</v>
      </c>
      <c r="AK12" s="429">
        <v>5531</v>
      </c>
      <c r="AL12" s="429">
        <v>5679</v>
      </c>
      <c r="AM12" s="429">
        <v>11900</v>
      </c>
      <c r="AN12" s="431">
        <v>12115</v>
      </c>
      <c r="AO12" s="431">
        <v>5600</v>
      </c>
      <c r="AP12" s="431">
        <v>6515</v>
      </c>
      <c r="AQ12" s="431">
        <v>12800</v>
      </c>
    </row>
    <row r="13" spans="3:43" x14ac:dyDescent="0.25">
      <c r="C13">
        <v>1994</v>
      </c>
      <c r="D13" s="431">
        <v>82.9</v>
      </c>
      <c r="E13" s="431">
        <v>12.6</v>
      </c>
      <c r="F13" s="431">
        <v>64.900000000000006</v>
      </c>
      <c r="G13" s="431">
        <v>97.2</v>
      </c>
      <c r="H13" s="431">
        <v>12.3</v>
      </c>
      <c r="I13" s="431">
        <v>82.6</v>
      </c>
      <c r="J13">
        <v>17.5</v>
      </c>
      <c r="K13">
        <v>3</v>
      </c>
      <c r="L13">
        <v>5</v>
      </c>
      <c r="M13">
        <v>19</v>
      </c>
      <c r="N13">
        <v>3.3</v>
      </c>
      <c r="O13">
        <v>5.4</v>
      </c>
      <c r="Q13" s="429">
        <f t="shared" si="0"/>
        <v>18.599999999999998</v>
      </c>
      <c r="R13" s="430">
        <f t="shared" si="1"/>
        <v>25.301204819277107</v>
      </c>
      <c r="T13">
        <v>1994</v>
      </c>
      <c r="U13">
        <v>143.80000000000001</v>
      </c>
      <c r="V13" s="430">
        <v>42.8</v>
      </c>
      <c r="W13">
        <v>165.2</v>
      </c>
      <c r="X13" s="430">
        <f t="shared" si="2"/>
        <v>18.689956331877728</v>
      </c>
      <c r="AE13">
        <v>1994</v>
      </c>
      <c r="AF13" s="431">
        <v>11067</v>
      </c>
      <c r="AG13" s="431">
        <v>4607</v>
      </c>
      <c r="AH13" s="431">
        <v>6460</v>
      </c>
      <c r="AI13" s="431">
        <v>11800</v>
      </c>
      <c r="AJ13" s="429">
        <v>10353</v>
      </c>
      <c r="AK13" s="429">
        <v>4779</v>
      </c>
      <c r="AL13" s="429">
        <v>5574</v>
      </c>
      <c r="AM13" s="429">
        <v>12600</v>
      </c>
      <c r="AN13" s="431">
        <v>10690</v>
      </c>
      <c r="AO13" s="431">
        <v>4698</v>
      </c>
      <c r="AP13" s="431">
        <v>5992</v>
      </c>
      <c r="AQ13" s="431">
        <v>11900</v>
      </c>
    </row>
    <row r="14" spans="3:43" x14ac:dyDescent="0.25">
      <c r="C14">
        <v>1995</v>
      </c>
      <c r="D14" s="431">
        <v>84</v>
      </c>
      <c r="E14" s="431">
        <v>12.5</v>
      </c>
      <c r="F14" s="431">
        <v>59.2</v>
      </c>
      <c r="G14" s="431">
        <v>102.6</v>
      </c>
      <c r="H14" s="431">
        <v>12.5</v>
      </c>
      <c r="I14" s="431">
        <v>83.2</v>
      </c>
      <c r="J14">
        <v>17.8</v>
      </c>
      <c r="K14">
        <v>3.1</v>
      </c>
      <c r="L14">
        <v>5.0999999999999996</v>
      </c>
      <c r="M14">
        <v>19.399999999999999</v>
      </c>
      <c r="N14">
        <v>3.3</v>
      </c>
      <c r="O14">
        <v>5.5</v>
      </c>
      <c r="Q14" s="429">
        <f t="shared" si="0"/>
        <v>18.600000000000001</v>
      </c>
      <c r="R14" s="430">
        <f t="shared" si="1"/>
        <v>25.6</v>
      </c>
      <c r="T14">
        <v>1995</v>
      </c>
      <c r="U14">
        <v>149.4</v>
      </c>
      <c r="V14" s="430">
        <v>42.6</v>
      </c>
      <c r="W14">
        <v>158.9</v>
      </c>
      <c r="X14" s="430">
        <f t="shared" si="2"/>
        <v>18.602620087336245</v>
      </c>
      <c r="AE14">
        <v>1995</v>
      </c>
      <c r="AF14" s="431">
        <v>11136</v>
      </c>
      <c r="AG14" s="431">
        <v>4652</v>
      </c>
      <c r="AH14" s="431">
        <v>6484</v>
      </c>
      <c r="AI14" s="431">
        <v>11400</v>
      </c>
      <c r="AJ14" s="429">
        <v>10613</v>
      </c>
      <c r="AK14" s="429">
        <v>5016</v>
      </c>
      <c r="AL14" s="429">
        <v>5597</v>
      </c>
      <c r="AM14" s="429">
        <v>12300</v>
      </c>
      <c r="AN14" s="431">
        <v>10860</v>
      </c>
      <c r="AO14" s="431">
        <v>4844</v>
      </c>
      <c r="AP14" s="431">
        <v>6016</v>
      </c>
      <c r="AQ14" s="431">
        <v>11500</v>
      </c>
    </row>
    <row r="15" spans="3:43" x14ac:dyDescent="0.25">
      <c r="C15">
        <v>1996</v>
      </c>
      <c r="D15" s="431">
        <v>78.599999999999994</v>
      </c>
      <c r="E15" s="431">
        <v>11.6</v>
      </c>
      <c r="F15" s="431">
        <v>57.2</v>
      </c>
      <c r="G15" s="431">
        <v>111.5</v>
      </c>
      <c r="H15" s="431">
        <v>11.7</v>
      </c>
      <c r="I15" s="431">
        <v>88.4</v>
      </c>
      <c r="J15">
        <v>18.2</v>
      </c>
      <c r="K15">
        <v>3.1</v>
      </c>
      <c r="L15">
        <v>5.0999999999999996</v>
      </c>
      <c r="M15">
        <v>19.7</v>
      </c>
      <c r="N15">
        <v>3.4</v>
      </c>
      <c r="O15">
        <v>5.6</v>
      </c>
      <c r="Q15" s="429">
        <f t="shared" si="0"/>
        <v>16.799999999999997</v>
      </c>
      <c r="R15" s="430">
        <f t="shared" si="1"/>
        <v>27.89699570815451</v>
      </c>
      <c r="T15">
        <v>1996</v>
      </c>
      <c r="U15">
        <v>152.19999999999999</v>
      </c>
      <c r="V15" s="430">
        <v>38.6</v>
      </c>
      <c r="W15">
        <v>162.5</v>
      </c>
      <c r="X15" s="430">
        <f t="shared" si="2"/>
        <v>16.855895196506552</v>
      </c>
      <c r="AE15">
        <v>1996</v>
      </c>
      <c r="AF15" s="431">
        <v>11119</v>
      </c>
      <c r="AG15" s="431">
        <v>4323</v>
      </c>
      <c r="AH15" s="431">
        <v>6796</v>
      </c>
      <c r="AI15" s="431">
        <v>12300</v>
      </c>
      <c r="AJ15" s="429">
        <v>9419</v>
      </c>
      <c r="AK15" s="429">
        <v>4391</v>
      </c>
      <c r="AL15" s="429">
        <v>5028</v>
      </c>
      <c r="AM15" s="429">
        <v>11400</v>
      </c>
      <c r="AN15" s="431">
        <v>10215</v>
      </c>
      <c r="AO15" s="431">
        <v>4359</v>
      </c>
      <c r="AP15" s="431">
        <v>5856</v>
      </c>
      <c r="AQ15" s="431">
        <v>12100</v>
      </c>
    </row>
    <row r="16" spans="3:43" x14ac:dyDescent="0.25">
      <c r="C16">
        <v>1997</v>
      </c>
      <c r="D16" s="431">
        <v>77.400000000000006</v>
      </c>
      <c r="E16" s="431">
        <v>11.5</v>
      </c>
      <c r="F16" s="431">
        <v>55.7</v>
      </c>
      <c r="G16" s="431">
        <v>103.9</v>
      </c>
      <c r="H16" s="431">
        <v>12.5</v>
      </c>
      <c r="I16" s="431">
        <v>84.2</v>
      </c>
      <c r="J16">
        <v>18.399999999999999</v>
      </c>
      <c r="K16">
        <v>3.2</v>
      </c>
      <c r="L16">
        <v>5.2</v>
      </c>
      <c r="M16">
        <v>20</v>
      </c>
      <c r="N16">
        <v>3.4</v>
      </c>
      <c r="O16">
        <v>5.7</v>
      </c>
      <c r="Q16" s="429">
        <f t="shared" si="0"/>
        <v>17.399999999999999</v>
      </c>
      <c r="R16" s="430">
        <f t="shared" si="1"/>
        <v>27.499999999999996</v>
      </c>
      <c r="T16">
        <v>1997</v>
      </c>
      <c r="U16">
        <v>143</v>
      </c>
      <c r="V16" s="430">
        <v>40</v>
      </c>
      <c r="W16">
        <v>155.6</v>
      </c>
      <c r="X16" s="430">
        <f t="shared" si="2"/>
        <v>17.467248908296941</v>
      </c>
      <c r="AE16">
        <v>1997</v>
      </c>
      <c r="AF16" s="431">
        <v>11926</v>
      </c>
      <c r="AG16" s="431">
        <v>5570</v>
      </c>
      <c r="AH16" s="431">
        <v>6356</v>
      </c>
      <c r="AI16" s="431">
        <v>15000</v>
      </c>
      <c r="AJ16" s="429">
        <v>10908</v>
      </c>
      <c r="AK16" s="429">
        <v>5348</v>
      </c>
      <c r="AL16" s="429">
        <v>5560</v>
      </c>
      <c r="AM16" s="429">
        <v>15000</v>
      </c>
      <c r="AN16" s="431">
        <v>11380</v>
      </c>
      <c r="AO16" s="431">
        <v>5451</v>
      </c>
      <c r="AP16" s="431">
        <v>5929</v>
      </c>
      <c r="AQ16" s="431">
        <v>15000</v>
      </c>
    </row>
    <row r="17" spans="3:43" x14ac:dyDescent="0.25">
      <c r="C17">
        <v>1998</v>
      </c>
      <c r="D17" s="431">
        <v>85.8</v>
      </c>
      <c r="E17" s="431">
        <v>12.5</v>
      </c>
      <c r="F17" s="431">
        <v>65.099999999999994</v>
      </c>
      <c r="G17" s="431">
        <v>77.099999999999994</v>
      </c>
      <c r="H17" s="431">
        <v>10.3</v>
      </c>
      <c r="I17" s="431">
        <v>65.099999999999994</v>
      </c>
      <c r="J17">
        <v>19.399999999999999</v>
      </c>
      <c r="K17">
        <v>3.3</v>
      </c>
      <c r="L17">
        <v>5.6</v>
      </c>
      <c r="M17">
        <v>18.899999999999999</v>
      </c>
      <c r="N17">
        <v>3.2</v>
      </c>
      <c r="O17">
        <v>5.4</v>
      </c>
      <c r="Q17" s="429">
        <f t="shared" si="0"/>
        <v>16.3</v>
      </c>
      <c r="R17" s="430">
        <f t="shared" si="1"/>
        <v>28.508771929824562</v>
      </c>
      <c r="T17">
        <v>1998</v>
      </c>
      <c r="U17">
        <v>124.7</v>
      </c>
      <c r="V17" s="430">
        <v>37.299999999999997</v>
      </c>
      <c r="W17">
        <v>143.69999999999999</v>
      </c>
      <c r="X17" s="430">
        <f t="shared" si="2"/>
        <v>16.288209606986896</v>
      </c>
      <c r="AE17">
        <v>1998</v>
      </c>
      <c r="AF17" s="431">
        <v>10025</v>
      </c>
      <c r="AG17" s="431">
        <v>5757</v>
      </c>
      <c r="AH17" s="431">
        <v>4268</v>
      </c>
      <c r="AI17" s="431">
        <v>13000</v>
      </c>
      <c r="AJ17" s="429">
        <v>10066</v>
      </c>
      <c r="AK17" s="429">
        <v>5615</v>
      </c>
      <c r="AL17" s="429">
        <v>4451</v>
      </c>
      <c r="AM17" s="429">
        <v>13300</v>
      </c>
      <c r="AN17" s="431">
        <v>10047</v>
      </c>
      <c r="AO17" s="431">
        <v>5681</v>
      </c>
      <c r="AP17" s="431">
        <v>4366</v>
      </c>
      <c r="AQ17" s="431">
        <v>13100</v>
      </c>
    </row>
    <row r="18" spans="3:43" x14ac:dyDescent="0.25">
      <c r="C18">
        <v>1999</v>
      </c>
      <c r="D18" s="431">
        <v>81.2</v>
      </c>
      <c r="E18" s="431">
        <v>12.2</v>
      </c>
      <c r="F18" s="431">
        <v>61.2</v>
      </c>
      <c r="G18" s="431">
        <v>88.4</v>
      </c>
      <c r="H18" s="431">
        <v>12</v>
      </c>
      <c r="I18" s="431">
        <v>79.099999999999994</v>
      </c>
      <c r="J18">
        <v>19.600000000000001</v>
      </c>
      <c r="K18">
        <v>3.4</v>
      </c>
      <c r="L18">
        <v>5.7</v>
      </c>
      <c r="M18">
        <v>19.100000000000001</v>
      </c>
      <c r="N18">
        <v>3.3</v>
      </c>
      <c r="O18">
        <v>5.5</v>
      </c>
      <c r="Q18" s="429">
        <f t="shared" si="0"/>
        <v>17.5</v>
      </c>
      <c r="R18" s="430">
        <f t="shared" si="1"/>
        <v>27.685950413223136</v>
      </c>
      <c r="T18">
        <v>1999</v>
      </c>
      <c r="U18">
        <v>130.9</v>
      </c>
      <c r="V18" s="430">
        <v>40.299999999999997</v>
      </c>
      <c r="W18">
        <v>155.6</v>
      </c>
      <c r="X18" s="430">
        <f t="shared" si="2"/>
        <v>17.598253275109169</v>
      </c>
      <c r="AE18">
        <v>1999</v>
      </c>
      <c r="AF18" s="431">
        <v>11433</v>
      </c>
      <c r="AG18" s="431">
        <v>5368</v>
      </c>
      <c r="AH18" s="431">
        <v>6065</v>
      </c>
      <c r="AI18" s="431">
        <v>14900</v>
      </c>
      <c r="AJ18" s="429">
        <v>10053</v>
      </c>
      <c r="AK18" s="429">
        <v>5121</v>
      </c>
      <c r="AL18" s="429">
        <v>4932</v>
      </c>
      <c r="AM18" s="429">
        <v>15000</v>
      </c>
      <c r="AN18" s="431">
        <v>10681</v>
      </c>
      <c r="AO18" s="431">
        <v>5233</v>
      </c>
      <c r="AP18" s="431">
        <v>5448</v>
      </c>
      <c r="AQ18" s="431">
        <v>15000</v>
      </c>
    </row>
    <row r="19" spans="3:43" x14ac:dyDescent="0.25">
      <c r="C19">
        <v>2000</v>
      </c>
      <c r="D19" s="431">
        <v>87.7</v>
      </c>
      <c r="E19" s="431">
        <v>13.5</v>
      </c>
      <c r="F19" s="431">
        <v>64.3</v>
      </c>
      <c r="G19" s="431">
        <v>77.5</v>
      </c>
      <c r="H19" s="431">
        <v>10.9</v>
      </c>
      <c r="I19" s="431">
        <v>67.8</v>
      </c>
      <c r="J19">
        <v>22.1</v>
      </c>
      <c r="K19">
        <v>3.8</v>
      </c>
      <c r="L19">
        <v>6.4</v>
      </c>
      <c r="M19">
        <v>18.2</v>
      </c>
      <c r="N19">
        <v>3.1</v>
      </c>
      <c r="O19">
        <v>5.3</v>
      </c>
      <c r="Q19" s="429">
        <f t="shared" si="0"/>
        <v>17.5</v>
      </c>
      <c r="R19" s="430">
        <f t="shared" si="1"/>
        <v>28.278688524590166</v>
      </c>
      <c r="T19">
        <v>2000</v>
      </c>
      <c r="U19">
        <v>124.9</v>
      </c>
      <c r="V19" s="430">
        <v>40</v>
      </c>
      <c r="W19">
        <v>145.1</v>
      </c>
      <c r="X19" s="430">
        <f t="shared" si="2"/>
        <v>17.467248908296941</v>
      </c>
      <c r="AE19">
        <v>2000</v>
      </c>
      <c r="AF19" s="431">
        <v>10720</v>
      </c>
      <c r="AG19" s="431">
        <v>5864</v>
      </c>
      <c r="AH19" s="431">
        <v>4856</v>
      </c>
      <c r="AI19" s="431">
        <v>13800</v>
      </c>
      <c r="AJ19" s="429">
        <v>9962</v>
      </c>
      <c r="AK19" s="429">
        <v>5420</v>
      </c>
      <c r="AL19" s="429">
        <v>4542</v>
      </c>
      <c r="AM19" s="429">
        <v>14000</v>
      </c>
      <c r="AN19" s="431">
        <v>10310</v>
      </c>
      <c r="AO19" s="431">
        <v>5624</v>
      </c>
      <c r="AP19" s="431">
        <v>4686</v>
      </c>
      <c r="AQ19" s="431">
        <v>13800</v>
      </c>
    </row>
    <row r="20" spans="3:43" x14ac:dyDescent="0.25">
      <c r="C20">
        <v>2001</v>
      </c>
      <c r="D20" s="431">
        <v>87.5</v>
      </c>
      <c r="E20" s="431">
        <v>13.7</v>
      </c>
      <c r="F20" s="431">
        <v>65.900000000000006</v>
      </c>
      <c r="G20" s="431">
        <v>83.2</v>
      </c>
      <c r="H20" s="431">
        <v>11.5</v>
      </c>
      <c r="I20" s="431">
        <v>73.400000000000006</v>
      </c>
      <c r="J20">
        <v>22.3</v>
      </c>
      <c r="K20">
        <v>3.8</v>
      </c>
      <c r="L20">
        <v>6.4</v>
      </c>
      <c r="M20">
        <v>18.399999999999999</v>
      </c>
      <c r="N20">
        <v>3.1</v>
      </c>
      <c r="O20">
        <v>5.3</v>
      </c>
      <c r="Q20" s="429">
        <f t="shared" si="0"/>
        <v>18.299999999999997</v>
      </c>
      <c r="R20" s="430">
        <f t="shared" si="1"/>
        <v>27.380952380952383</v>
      </c>
      <c r="T20">
        <v>2001</v>
      </c>
      <c r="U20">
        <v>129.9</v>
      </c>
      <c r="V20" s="430">
        <v>41.9</v>
      </c>
      <c r="W20">
        <v>153.69999999999999</v>
      </c>
      <c r="X20" s="430">
        <f t="shared" si="2"/>
        <v>18.296943231441048</v>
      </c>
      <c r="AE20">
        <v>2001</v>
      </c>
      <c r="AF20" s="431">
        <v>10910</v>
      </c>
      <c r="AG20" s="431">
        <v>5622</v>
      </c>
      <c r="AH20" s="431">
        <v>5288</v>
      </c>
      <c r="AI20" s="431">
        <v>14400</v>
      </c>
      <c r="AJ20" s="429">
        <v>10357</v>
      </c>
      <c r="AK20" s="429">
        <v>5255</v>
      </c>
      <c r="AL20" s="429">
        <v>5102</v>
      </c>
      <c r="AM20" s="429">
        <v>14200</v>
      </c>
      <c r="AN20" s="431">
        <v>10609</v>
      </c>
      <c r="AO20" s="431">
        <v>5422</v>
      </c>
      <c r="AP20" s="431">
        <v>5187</v>
      </c>
      <c r="AQ20" s="431">
        <v>14300</v>
      </c>
    </row>
    <row r="21" spans="3:43" x14ac:dyDescent="0.25">
      <c r="C21">
        <v>2002</v>
      </c>
      <c r="D21" s="431">
        <v>82.3</v>
      </c>
      <c r="E21" s="431">
        <v>12.8</v>
      </c>
      <c r="F21" s="431">
        <v>61.6</v>
      </c>
      <c r="G21" s="431">
        <v>80.400000000000006</v>
      </c>
      <c r="H21" s="431">
        <v>11.3</v>
      </c>
      <c r="I21" s="431">
        <v>73.8</v>
      </c>
      <c r="J21">
        <v>21.9</v>
      </c>
      <c r="K21">
        <v>3.7</v>
      </c>
      <c r="L21">
        <v>6.3</v>
      </c>
      <c r="M21">
        <v>18.100000000000001</v>
      </c>
      <c r="N21">
        <v>3.1</v>
      </c>
      <c r="O21">
        <v>5.2</v>
      </c>
      <c r="Q21" s="429">
        <f t="shared" si="0"/>
        <v>17.3</v>
      </c>
      <c r="R21" s="430">
        <f t="shared" si="1"/>
        <v>28.215767634854771</v>
      </c>
      <c r="T21">
        <v>2002</v>
      </c>
      <c r="U21">
        <v>122.6</v>
      </c>
      <c r="V21" s="430">
        <v>39.6</v>
      </c>
      <c r="W21">
        <v>149.30000000000001</v>
      </c>
      <c r="X21" s="430">
        <f t="shared" si="2"/>
        <v>17.292576419213976</v>
      </c>
      <c r="AE21">
        <v>2002</v>
      </c>
      <c r="AF21" s="431">
        <v>10971</v>
      </c>
      <c r="AG21" s="431">
        <v>6211</v>
      </c>
      <c r="AH21" s="431">
        <v>4760</v>
      </c>
      <c r="AI21" s="431">
        <v>14100</v>
      </c>
      <c r="AJ21" s="429">
        <v>10763</v>
      </c>
      <c r="AK21" s="429">
        <v>5697</v>
      </c>
      <c r="AL21" s="429">
        <v>5065</v>
      </c>
      <c r="AM21" s="429">
        <v>14300</v>
      </c>
      <c r="AN21" s="431">
        <v>10858</v>
      </c>
      <c r="AO21" s="431">
        <v>5932</v>
      </c>
      <c r="AP21" s="431">
        <v>4926</v>
      </c>
      <c r="AQ21" s="431">
        <v>14200</v>
      </c>
    </row>
    <row r="22" spans="3:43" x14ac:dyDescent="0.25">
      <c r="C22">
        <v>2003</v>
      </c>
      <c r="D22" s="431">
        <v>92.6</v>
      </c>
      <c r="E22" s="431">
        <v>14.4</v>
      </c>
      <c r="F22" s="431">
        <v>75</v>
      </c>
      <c r="G22" s="431">
        <v>74</v>
      </c>
      <c r="H22" s="431">
        <v>10.9</v>
      </c>
      <c r="I22" s="431">
        <v>68.400000000000006</v>
      </c>
      <c r="J22">
        <v>22.5</v>
      </c>
      <c r="K22">
        <v>4.0999999999999996</v>
      </c>
      <c r="L22">
        <v>6.5</v>
      </c>
      <c r="M22">
        <v>18.600000000000001</v>
      </c>
      <c r="N22">
        <v>3.4</v>
      </c>
      <c r="O22">
        <v>5.4</v>
      </c>
      <c r="Q22" s="429">
        <f t="shared" si="0"/>
        <v>17.8</v>
      </c>
      <c r="R22" s="430">
        <f t="shared" si="1"/>
        <v>29.644268774703558</v>
      </c>
      <c r="T22">
        <v>2003</v>
      </c>
      <c r="U22">
        <v>125.4</v>
      </c>
      <c r="V22" s="430">
        <v>40.799999999999997</v>
      </c>
      <c r="W22">
        <v>158.6</v>
      </c>
      <c r="X22" s="430">
        <f t="shared" si="2"/>
        <v>17.816593886462879</v>
      </c>
      <c r="AE22">
        <v>2003</v>
      </c>
      <c r="AF22" s="431">
        <v>9248</v>
      </c>
      <c r="AG22" s="431">
        <v>5531</v>
      </c>
      <c r="AH22" s="431">
        <v>3717</v>
      </c>
      <c r="AI22" s="431">
        <v>14300</v>
      </c>
      <c r="AJ22" s="429">
        <v>9160</v>
      </c>
      <c r="AK22" s="429">
        <v>4973</v>
      </c>
      <c r="AL22" s="429">
        <v>4187</v>
      </c>
      <c r="AM22" s="429">
        <v>14700</v>
      </c>
      <c r="AN22" s="431">
        <v>9200</v>
      </c>
      <c r="AO22" s="431">
        <v>5228</v>
      </c>
      <c r="AP22" s="431">
        <v>3972</v>
      </c>
      <c r="AQ22" s="431">
        <v>14400</v>
      </c>
    </row>
    <row r="23" spans="3:43" x14ac:dyDescent="0.25">
      <c r="C23">
        <v>2004</v>
      </c>
      <c r="D23" s="431">
        <v>88.3</v>
      </c>
      <c r="E23" s="431">
        <v>13.4</v>
      </c>
      <c r="F23" s="431">
        <v>70</v>
      </c>
      <c r="G23" s="431">
        <v>76.599999999999994</v>
      </c>
      <c r="H23" s="431">
        <v>11.1</v>
      </c>
      <c r="I23" s="431">
        <v>69.7</v>
      </c>
      <c r="J23">
        <v>21.7</v>
      </c>
      <c r="K23">
        <v>3.9</v>
      </c>
      <c r="L23">
        <v>6.2</v>
      </c>
      <c r="M23">
        <v>20</v>
      </c>
      <c r="N23">
        <v>3.6</v>
      </c>
      <c r="O23">
        <v>5.7</v>
      </c>
      <c r="Q23" s="429">
        <f t="shared" si="0"/>
        <v>17</v>
      </c>
      <c r="R23" s="430">
        <f t="shared" si="1"/>
        <v>30.612244897959183</v>
      </c>
      <c r="T23">
        <v>2004</v>
      </c>
      <c r="U23">
        <v>123.1</v>
      </c>
      <c r="V23" s="430">
        <v>38.6</v>
      </c>
      <c r="W23">
        <v>154</v>
      </c>
      <c r="X23" s="430">
        <f t="shared" si="2"/>
        <v>16.855895196506552</v>
      </c>
      <c r="AE23">
        <v>2004</v>
      </c>
      <c r="AF23" s="431">
        <v>10519</v>
      </c>
      <c r="AG23" s="431">
        <v>6485</v>
      </c>
      <c r="AH23" s="431">
        <v>4033</v>
      </c>
      <c r="AI23" s="431">
        <v>14100</v>
      </c>
      <c r="AJ23" s="429">
        <v>10594</v>
      </c>
      <c r="AK23" s="429">
        <v>6246</v>
      </c>
      <c r="AL23" s="429">
        <v>4348</v>
      </c>
      <c r="AM23" s="429">
        <v>14200</v>
      </c>
      <c r="AN23" s="431">
        <v>10560</v>
      </c>
      <c r="AO23" s="431">
        <v>6356</v>
      </c>
      <c r="AP23" s="431">
        <v>4204</v>
      </c>
      <c r="AQ23" s="431">
        <v>14100</v>
      </c>
    </row>
    <row r="24" spans="3:43" x14ac:dyDescent="0.25">
      <c r="C24">
        <v>2005</v>
      </c>
      <c r="D24" s="431">
        <v>83</v>
      </c>
      <c r="E24" s="431">
        <v>12.8</v>
      </c>
      <c r="F24" s="431">
        <v>67.599999999999994</v>
      </c>
      <c r="G24" s="431">
        <v>83.2</v>
      </c>
      <c r="H24" s="431">
        <v>12.1</v>
      </c>
      <c r="I24" s="431">
        <v>76.3</v>
      </c>
      <c r="J24">
        <v>22.2</v>
      </c>
      <c r="K24">
        <v>4</v>
      </c>
      <c r="L24">
        <v>6.4</v>
      </c>
      <c r="M24">
        <v>20.399999999999999</v>
      </c>
      <c r="N24">
        <v>3.7</v>
      </c>
      <c r="O24">
        <v>5.9</v>
      </c>
      <c r="Q24" s="429">
        <f t="shared" si="0"/>
        <v>17.2</v>
      </c>
      <c r="R24" s="430">
        <f t="shared" si="1"/>
        <v>30.923694779116467</v>
      </c>
      <c r="T24">
        <v>2005</v>
      </c>
      <c r="U24">
        <v>123.5</v>
      </c>
      <c r="V24" s="430">
        <v>39.4</v>
      </c>
      <c r="W24">
        <v>158.80000000000001</v>
      </c>
      <c r="X24" s="430">
        <f t="shared" si="2"/>
        <v>17.20524017467249</v>
      </c>
      <c r="AE24">
        <v>2005</v>
      </c>
      <c r="AF24" s="431">
        <v>11051</v>
      </c>
      <c r="AG24" s="431">
        <v>6180</v>
      </c>
      <c r="AH24" s="431">
        <v>4871</v>
      </c>
      <c r="AI24" s="431">
        <v>14200</v>
      </c>
      <c r="AJ24" s="429">
        <v>10206</v>
      </c>
      <c r="AK24" s="429">
        <v>5848</v>
      </c>
      <c r="AL24" s="429">
        <v>4358</v>
      </c>
      <c r="AM24" s="429">
        <v>14700</v>
      </c>
      <c r="AN24" s="431">
        <v>10584</v>
      </c>
      <c r="AO24" s="431">
        <v>5997</v>
      </c>
      <c r="AP24" s="431">
        <v>4588</v>
      </c>
      <c r="AQ24" s="431">
        <v>14400</v>
      </c>
    </row>
    <row r="25" spans="3:43" x14ac:dyDescent="0.25">
      <c r="C25">
        <v>2006</v>
      </c>
      <c r="D25" s="431">
        <v>88.1</v>
      </c>
      <c r="E25" s="431">
        <v>13.5</v>
      </c>
      <c r="F25" s="431">
        <v>72.400000000000006</v>
      </c>
      <c r="G25" s="431">
        <v>77.7</v>
      </c>
      <c r="H25" s="431">
        <v>11.5</v>
      </c>
      <c r="I25" s="431">
        <v>72.400000000000006</v>
      </c>
      <c r="J25">
        <v>23.8</v>
      </c>
      <c r="K25">
        <v>4.3</v>
      </c>
      <c r="L25">
        <v>6.8</v>
      </c>
      <c r="M25">
        <v>19.7</v>
      </c>
      <c r="N25">
        <v>3.6</v>
      </c>
      <c r="O25">
        <v>5.6</v>
      </c>
      <c r="Q25" s="429">
        <f t="shared" si="0"/>
        <v>17.100000000000001</v>
      </c>
      <c r="R25" s="430">
        <f t="shared" si="1"/>
        <v>31.6</v>
      </c>
      <c r="T25">
        <v>2006</v>
      </c>
      <c r="U25">
        <v>122.2</v>
      </c>
      <c r="V25" s="430">
        <v>39.200000000000003</v>
      </c>
      <c r="W25">
        <v>159.4</v>
      </c>
      <c r="X25" s="430">
        <f t="shared" si="2"/>
        <v>17.117903930131007</v>
      </c>
      <c r="AE25">
        <v>2006</v>
      </c>
      <c r="AF25" s="431">
        <v>10310</v>
      </c>
      <c r="AG25" s="431">
        <v>5697</v>
      </c>
      <c r="AH25" s="431">
        <v>4614</v>
      </c>
      <c r="AI25" s="431">
        <v>14300</v>
      </c>
      <c r="AJ25" s="429">
        <v>10326</v>
      </c>
      <c r="AK25" s="429">
        <v>5286</v>
      </c>
      <c r="AL25" s="429">
        <v>5041</v>
      </c>
      <c r="AM25" s="429">
        <v>14500</v>
      </c>
      <c r="AN25" s="431">
        <v>10319</v>
      </c>
      <c r="AO25" s="431">
        <v>5474</v>
      </c>
      <c r="AP25" s="431">
        <v>4845</v>
      </c>
      <c r="AQ25" s="431">
        <v>14400</v>
      </c>
    </row>
    <row r="26" spans="3:43" x14ac:dyDescent="0.25">
      <c r="C26">
        <v>2007</v>
      </c>
      <c r="D26" s="431">
        <v>90.4</v>
      </c>
      <c r="E26" s="431">
        <v>13.4</v>
      </c>
      <c r="F26" s="431">
        <v>73.400000000000006</v>
      </c>
      <c r="G26" s="431">
        <v>82.8</v>
      </c>
      <c r="H26" s="431">
        <v>12.1</v>
      </c>
      <c r="I26" s="431">
        <v>73.7</v>
      </c>
      <c r="J26">
        <v>23.4</v>
      </c>
      <c r="K26">
        <v>4.2</v>
      </c>
      <c r="L26">
        <v>6.7</v>
      </c>
      <c r="M26">
        <v>21.5</v>
      </c>
      <c r="N26">
        <v>3.9</v>
      </c>
      <c r="O26">
        <v>6.2</v>
      </c>
      <c r="Q26" s="429">
        <f t="shared" si="0"/>
        <v>17.399999999999999</v>
      </c>
      <c r="R26" s="430">
        <f t="shared" si="1"/>
        <v>31.764705882352938</v>
      </c>
      <c r="T26">
        <v>2007</v>
      </c>
      <c r="U26">
        <v>128.30000000000001</v>
      </c>
      <c r="V26" s="430">
        <v>39.799999999999997</v>
      </c>
      <c r="W26">
        <v>161.69999999999999</v>
      </c>
      <c r="X26" s="430">
        <f t="shared" si="2"/>
        <v>17.379912663755459</v>
      </c>
      <c r="AE26">
        <v>2007</v>
      </c>
      <c r="AF26" s="431">
        <v>10812</v>
      </c>
      <c r="AG26" s="431">
        <v>6428</v>
      </c>
      <c r="AH26" s="431">
        <v>4384</v>
      </c>
      <c r="AI26" s="431">
        <v>15000</v>
      </c>
      <c r="AJ26" s="429">
        <v>11056</v>
      </c>
      <c r="AK26" s="429">
        <v>5829</v>
      </c>
      <c r="AL26" s="429">
        <v>5227</v>
      </c>
      <c r="AM26" s="429">
        <v>15000</v>
      </c>
      <c r="AN26" s="431">
        <v>10924</v>
      </c>
      <c r="AO26" s="431">
        <v>6153</v>
      </c>
      <c r="AP26" s="431">
        <v>4771</v>
      </c>
      <c r="AQ26" s="431">
        <v>15000</v>
      </c>
    </row>
    <row r="27" spans="3:43" x14ac:dyDescent="0.25">
      <c r="C27">
        <v>2008</v>
      </c>
      <c r="D27" s="431">
        <v>90.5</v>
      </c>
      <c r="E27" s="431">
        <v>13.8</v>
      </c>
      <c r="F27" s="431">
        <v>69</v>
      </c>
      <c r="G27" s="431">
        <v>82.6</v>
      </c>
      <c r="H27" s="431">
        <v>12.3</v>
      </c>
      <c r="I27" s="431">
        <v>74.5</v>
      </c>
      <c r="J27">
        <v>24.3</v>
      </c>
      <c r="K27">
        <v>4.4000000000000004</v>
      </c>
      <c r="L27">
        <v>6.9</v>
      </c>
      <c r="M27">
        <v>21.2</v>
      </c>
      <c r="N27">
        <v>3.8</v>
      </c>
      <c r="O27">
        <v>6</v>
      </c>
      <c r="Q27" s="429">
        <f t="shared" si="0"/>
        <v>17.900000000000002</v>
      </c>
      <c r="R27" s="430">
        <f t="shared" si="1"/>
        <v>31.417624521072788</v>
      </c>
      <c r="T27">
        <v>2008</v>
      </c>
      <c r="U27">
        <v>127.6</v>
      </c>
      <c r="V27" s="430">
        <v>41</v>
      </c>
      <c r="W27">
        <v>157.30000000000001</v>
      </c>
      <c r="X27" s="430">
        <f t="shared" si="2"/>
        <v>17.903930131004365</v>
      </c>
      <c r="AE27">
        <v>2008</v>
      </c>
      <c r="AF27" s="431">
        <v>10649</v>
      </c>
      <c r="AG27" s="431">
        <v>6314</v>
      </c>
      <c r="AH27" s="431">
        <v>4334</v>
      </c>
      <c r="AI27" s="431">
        <v>16300</v>
      </c>
      <c r="AJ27" s="429">
        <v>10936</v>
      </c>
      <c r="AK27" s="429">
        <v>6487</v>
      </c>
      <c r="AL27" s="429">
        <v>4449</v>
      </c>
      <c r="AM27" s="429">
        <v>15600</v>
      </c>
      <c r="AN27" s="431">
        <v>10781</v>
      </c>
      <c r="AO27" s="431">
        <v>6394</v>
      </c>
      <c r="AP27" s="431">
        <v>4387</v>
      </c>
      <c r="AQ27" s="431">
        <v>16100</v>
      </c>
    </row>
    <row r="28" spans="3:43" x14ac:dyDescent="0.25">
      <c r="C28" t="s">
        <v>296</v>
      </c>
      <c r="D28" s="431" t="s">
        <v>295</v>
      </c>
      <c r="E28" s="431"/>
      <c r="F28" s="431"/>
      <c r="G28" s="431"/>
      <c r="H28" s="431"/>
      <c r="I28" s="431"/>
      <c r="T28" t="s">
        <v>296</v>
      </c>
      <c r="V28" s="430"/>
    </row>
    <row r="29" spans="3:43" x14ac:dyDescent="0.25">
      <c r="C29">
        <v>1990</v>
      </c>
      <c r="D29" s="431">
        <v>80.099999999999994</v>
      </c>
      <c r="E29" s="431">
        <v>11.4</v>
      </c>
      <c r="F29" s="431">
        <v>61.6</v>
      </c>
      <c r="G29" s="431">
        <v>111</v>
      </c>
      <c r="H29" s="431">
        <v>12.9</v>
      </c>
      <c r="I29" s="431">
        <v>87.5</v>
      </c>
      <c r="J29">
        <v>16.3</v>
      </c>
      <c r="K29">
        <v>2.8</v>
      </c>
      <c r="L29">
        <v>4.7</v>
      </c>
      <c r="M29">
        <v>17.7</v>
      </c>
      <c r="N29">
        <v>3.1</v>
      </c>
      <c r="O29">
        <v>5.0999999999999996</v>
      </c>
      <c r="Q29" s="429">
        <f t="shared" si="0"/>
        <v>18.399999999999999</v>
      </c>
      <c r="R29" s="430">
        <f t="shared" si="1"/>
        <v>24.279835390946502</v>
      </c>
      <c r="T29">
        <v>1990</v>
      </c>
      <c r="U29">
        <v>157</v>
      </c>
      <c r="V29" s="430">
        <v>42.1</v>
      </c>
      <c r="W29">
        <v>168</v>
      </c>
      <c r="X29" s="430">
        <f t="shared" si="2"/>
        <v>18.384279475982535</v>
      </c>
      <c r="AF29">
        <f>AF27</f>
        <v>10649</v>
      </c>
    </row>
    <row r="30" spans="3:43" x14ac:dyDescent="0.25">
      <c r="C30">
        <v>1991</v>
      </c>
      <c r="D30" s="431">
        <v>86.8</v>
      </c>
      <c r="E30" s="431">
        <v>12.4</v>
      </c>
      <c r="F30" s="431">
        <v>72.7</v>
      </c>
      <c r="G30" s="431">
        <v>110.9</v>
      </c>
      <c r="H30" s="431">
        <v>12.1</v>
      </c>
      <c r="I30" s="431">
        <v>93.6</v>
      </c>
      <c r="J30">
        <v>16.5</v>
      </c>
      <c r="K30">
        <v>2.8</v>
      </c>
      <c r="L30">
        <v>4.7</v>
      </c>
      <c r="M30">
        <v>17.899999999999999</v>
      </c>
      <c r="N30">
        <v>3.1</v>
      </c>
      <c r="O30">
        <v>5.0999999999999996</v>
      </c>
      <c r="Q30" s="429">
        <f t="shared" si="0"/>
        <v>18.600000000000001</v>
      </c>
      <c r="R30" s="430">
        <f t="shared" si="1"/>
        <v>24.081632653061224</v>
      </c>
      <c r="T30">
        <v>1991</v>
      </c>
      <c r="U30">
        <v>163.30000000000001</v>
      </c>
      <c r="V30" s="430">
        <v>42.6</v>
      </c>
      <c r="W30">
        <v>188.7</v>
      </c>
      <c r="X30" s="430">
        <f t="shared" si="2"/>
        <v>18.602620087336245</v>
      </c>
    </row>
    <row r="31" spans="3:43" x14ac:dyDescent="0.25">
      <c r="C31">
        <v>1992</v>
      </c>
      <c r="D31" s="431">
        <v>77.900000000000006</v>
      </c>
      <c r="E31" s="431">
        <v>11.2</v>
      </c>
      <c r="F31" s="431">
        <v>65.2</v>
      </c>
      <c r="G31" s="431">
        <v>121.3</v>
      </c>
      <c r="H31" s="431">
        <v>13.6</v>
      </c>
      <c r="I31" s="431">
        <v>100.6</v>
      </c>
      <c r="J31">
        <v>15.2</v>
      </c>
      <c r="K31">
        <v>2.6</v>
      </c>
      <c r="L31">
        <v>4.3</v>
      </c>
      <c r="M31">
        <v>19.5</v>
      </c>
      <c r="N31">
        <v>3.4</v>
      </c>
      <c r="O31">
        <v>5.5</v>
      </c>
      <c r="Q31" s="429">
        <f t="shared" si="0"/>
        <v>18.799999999999997</v>
      </c>
      <c r="R31" s="430">
        <f t="shared" si="1"/>
        <v>24.193548387096779</v>
      </c>
      <c r="T31">
        <v>1992</v>
      </c>
      <c r="U31">
        <v>164.5</v>
      </c>
      <c r="V31" s="430">
        <v>43.2</v>
      </c>
      <c r="W31">
        <v>187.8</v>
      </c>
      <c r="X31" s="430">
        <f t="shared" si="2"/>
        <v>18.8646288209607</v>
      </c>
    </row>
    <row r="32" spans="3:43" x14ac:dyDescent="0.25">
      <c r="C32">
        <v>1993</v>
      </c>
      <c r="D32" s="431">
        <v>87.9</v>
      </c>
      <c r="E32" s="431">
        <v>12.7</v>
      </c>
      <c r="F32" s="431">
        <v>75.099999999999994</v>
      </c>
      <c r="G32" s="431">
        <v>111.3</v>
      </c>
      <c r="H32" s="431">
        <v>13.8</v>
      </c>
      <c r="I32" s="431">
        <v>99.8</v>
      </c>
      <c r="J32">
        <v>17.100000000000001</v>
      </c>
      <c r="K32">
        <v>2.9</v>
      </c>
      <c r="L32">
        <v>4.8</v>
      </c>
      <c r="M32">
        <v>18.5</v>
      </c>
      <c r="N32">
        <v>3.2</v>
      </c>
      <c r="O32">
        <v>5.3</v>
      </c>
      <c r="Q32" s="429">
        <f t="shared" si="0"/>
        <v>20.399999999999999</v>
      </c>
      <c r="R32" s="430">
        <f t="shared" si="1"/>
        <v>23.018867924528301</v>
      </c>
      <c r="T32">
        <v>1993</v>
      </c>
      <c r="U32">
        <v>163.6</v>
      </c>
      <c r="V32" s="430">
        <v>46.7</v>
      </c>
      <c r="W32">
        <v>198.5</v>
      </c>
      <c r="X32" s="430">
        <f t="shared" si="2"/>
        <v>20.393013100436683</v>
      </c>
    </row>
    <row r="33" spans="3:24" x14ac:dyDescent="0.25">
      <c r="C33">
        <v>1994</v>
      </c>
      <c r="D33" s="431">
        <v>90.2</v>
      </c>
      <c r="E33" s="431">
        <v>13.1</v>
      </c>
      <c r="F33" s="431">
        <v>81</v>
      </c>
      <c r="G33" s="431">
        <v>111.6</v>
      </c>
      <c r="H33" s="431">
        <v>13.3</v>
      </c>
      <c r="I33" s="431">
        <v>96.1</v>
      </c>
      <c r="J33">
        <v>17.5</v>
      </c>
      <c r="K33">
        <v>3</v>
      </c>
      <c r="L33">
        <v>5</v>
      </c>
      <c r="M33">
        <v>19</v>
      </c>
      <c r="N33">
        <v>3.3</v>
      </c>
      <c r="O33">
        <v>5.4</v>
      </c>
      <c r="Q33" s="429">
        <f t="shared" si="0"/>
        <v>20.099999999999998</v>
      </c>
      <c r="R33" s="430">
        <f t="shared" si="1"/>
        <v>23.863636363636363</v>
      </c>
      <c r="T33">
        <v>1994</v>
      </c>
      <c r="U33">
        <v>165.4</v>
      </c>
      <c r="V33" s="430">
        <v>46.2</v>
      </c>
      <c r="W33">
        <v>201</v>
      </c>
      <c r="X33" s="430">
        <f t="shared" si="2"/>
        <v>20.174672489082969</v>
      </c>
    </row>
    <row r="34" spans="3:24" x14ac:dyDescent="0.25">
      <c r="C34">
        <v>1995</v>
      </c>
      <c r="D34" s="431">
        <v>90.1</v>
      </c>
      <c r="E34" s="431">
        <v>13.3</v>
      </c>
      <c r="F34" s="431">
        <v>73.3</v>
      </c>
      <c r="G34" s="431">
        <v>112.1</v>
      </c>
      <c r="H34" s="431">
        <v>13</v>
      </c>
      <c r="I34" s="431">
        <v>90.5</v>
      </c>
      <c r="J34">
        <v>17.8</v>
      </c>
      <c r="K34">
        <v>3.1</v>
      </c>
      <c r="L34">
        <v>5.0999999999999996</v>
      </c>
      <c r="M34">
        <v>19.399999999999999</v>
      </c>
      <c r="N34">
        <v>3.3</v>
      </c>
      <c r="O34">
        <v>5.5</v>
      </c>
      <c r="Q34" s="429">
        <f t="shared" si="0"/>
        <v>19.899999999999999</v>
      </c>
      <c r="R34" s="430">
        <f t="shared" si="1"/>
        <v>24.334600760456272</v>
      </c>
      <c r="T34">
        <v>1995</v>
      </c>
      <c r="U34">
        <v>165</v>
      </c>
      <c r="V34" s="430">
        <v>45.8</v>
      </c>
      <c r="W34">
        <v>184.6</v>
      </c>
      <c r="X34" s="430">
        <f t="shared" si="2"/>
        <v>20</v>
      </c>
    </row>
    <row r="35" spans="3:24" x14ac:dyDescent="0.25">
      <c r="C35">
        <v>1996</v>
      </c>
      <c r="D35" s="431">
        <v>86.1</v>
      </c>
      <c r="E35" s="431">
        <v>12.4</v>
      </c>
      <c r="F35" s="431">
        <v>70.3</v>
      </c>
      <c r="G35" s="431">
        <v>114.9</v>
      </c>
      <c r="H35" s="431">
        <v>12.1</v>
      </c>
      <c r="I35" s="431">
        <v>92.9</v>
      </c>
      <c r="J35">
        <v>18.2</v>
      </c>
      <c r="K35">
        <v>3.1</v>
      </c>
      <c r="L35">
        <v>5.0999999999999996</v>
      </c>
      <c r="M35">
        <v>19.7</v>
      </c>
      <c r="N35">
        <v>3.4</v>
      </c>
      <c r="O35">
        <v>5.6</v>
      </c>
      <c r="Q35" s="429">
        <f t="shared" si="0"/>
        <v>18</v>
      </c>
      <c r="R35" s="430">
        <f t="shared" si="1"/>
        <v>26.530612244897959</v>
      </c>
      <c r="T35">
        <v>1996</v>
      </c>
      <c r="U35">
        <v>163.19999999999999</v>
      </c>
      <c r="V35" s="430">
        <v>41.2</v>
      </c>
      <c r="W35">
        <v>183.9</v>
      </c>
      <c r="X35" s="430">
        <f t="shared" si="2"/>
        <v>17.991266375545852</v>
      </c>
    </row>
    <row r="36" spans="3:24" x14ac:dyDescent="0.25">
      <c r="C36">
        <v>1997</v>
      </c>
      <c r="D36" s="431">
        <v>89.4</v>
      </c>
      <c r="E36" s="431">
        <v>12.2</v>
      </c>
      <c r="F36" s="431">
        <v>72.2</v>
      </c>
      <c r="G36" s="431">
        <v>115.3</v>
      </c>
      <c r="H36" s="431">
        <v>13.3</v>
      </c>
      <c r="I36" s="431">
        <v>92.5</v>
      </c>
      <c r="J36">
        <v>18.399999999999999</v>
      </c>
      <c r="K36">
        <v>3.2</v>
      </c>
      <c r="L36">
        <v>5.2</v>
      </c>
      <c r="M36">
        <v>20</v>
      </c>
      <c r="N36">
        <v>3.4</v>
      </c>
      <c r="O36">
        <v>5.7</v>
      </c>
      <c r="Q36" s="429">
        <f t="shared" si="0"/>
        <v>18.899999999999999</v>
      </c>
      <c r="R36" s="430">
        <f t="shared" si="1"/>
        <v>25.882352941176467</v>
      </c>
      <c r="T36">
        <v>1997</v>
      </c>
      <c r="U36">
        <v>166.3</v>
      </c>
      <c r="V36" s="430">
        <v>43.1</v>
      </c>
      <c r="W36">
        <v>185.4</v>
      </c>
      <c r="X36" s="430">
        <f t="shared" si="2"/>
        <v>18.820960698689955</v>
      </c>
    </row>
    <row r="37" spans="3:24" x14ac:dyDescent="0.25">
      <c r="C37">
        <v>1998</v>
      </c>
      <c r="D37" s="431">
        <v>95.3</v>
      </c>
      <c r="E37" s="431">
        <v>13.7</v>
      </c>
      <c r="F37" s="431">
        <v>77.900000000000006</v>
      </c>
      <c r="G37" s="431">
        <v>99.1</v>
      </c>
      <c r="H37" s="431">
        <v>11.9</v>
      </c>
      <c r="I37" s="431">
        <v>84.7</v>
      </c>
      <c r="J37">
        <v>20.399999999999999</v>
      </c>
      <c r="K37">
        <v>3.5</v>
      </c>
      <c r="L37">
        <v>5.9</v>
      </c>
      <c r="M37">
        <v>17.8</v>
      </c>
      <c r="N37">
        <v>3</v>
      </c>
      <c r="O37">
        <v>5.0999999999999996</v>
      </c>
      <c r="Q37" s="429">
        <f t="shared" si="0"/>
        <v>19.100000000000001</v>
      </c>
      <c r="R37" s="430">
        <f t="shared" si="1"/>
        <v>25.390625</v>
      </c>
      <c r="T37">
        <v>1998</v>
      </c>
      <c r="U37">
        <v>156.1</v>
      </c>
      <c r="V37" s="430">
        <v>43.6</v>
      </c>
      <c r="W37">
        <v>182.8</v>
      </c>
      <c r="X37" s="430">
        <f t="shared" si="2"/>
        <v>19.039301310043669</v>
      </c>
    </row>
    <row r="38" spans="3:24" x14ac:dyDescent="0.25">
      <c r="C38">
        <v>1999</v>
      </c>
      <c r="D38" s="431">
        <v>91.5</v>
      </c>
      <c r="E38" s="431">
        <v>13.8</v>
      </c>
      <c r="F38" s="431">
        <v>75.400000000000006</v>
      </c>
      <c r="G38" s="431">
        <v>98.5</v>
      </c>
      <c r="H38" s="431">
        <v>13.1</v>
      </c>
      <c r="I38" s="431">
        <v>91.6</v>
      </c>
      <c r="J38">
        <v>19.600000000000001</v>
      </c>
      <c r="K38">
        <v>3.4</v>
      </c>
      <c r="L38">
        <v>5.7</v>
      </c>
      <c r="M38">
        <v>19.100000000000001</v>
      </c>
      <c r="N38">
        <v>3.3</v>
      </c>
      <c r="O38">
        <v>5.5</v>
      </c>
      <c r="Q38" s="429">
        <f t="shared" si="0"/>
        <v>20.2</v>
      </c>
      <c r="R38" s="430">
        <f t="shared" si="1"/>
        <v>24.907063197026023</v>
      </c>
      <c r="T38">
        <v>1999</v>
      </c>
      <c r="U38">
        <v>151.30000000000001</v>
      </c>
      <c r="V38" s="430">
        <v>46.5</v>
      </c>
      <c r="W38">
        <v>187.7</v>
      </c>
      <c r="X38" s="430">
        <f t="shared" si="2"/>
        <v>20.305676855895197</v>
      </c>
    </row>
    <row r="39" spans="3:24" x14ac:dyDescent="0.25">
      <c r="C39">
        <v>2000</v>
      </c>
      <c r="D39" s="431">
        <v>99.2</v>
      </c>
      <c r="E39" s="431">
        <v>14.8</v>
      </c>
      <c r="F39" s="431">
        <v>79</v>
      </c>
      <c r="G39" s="431">
        <v>90.7</v>
      </c>
      <c r="H39" s="431">
        <v>12.2</v>
      </c>
      <c r="I39" s="431">
        <v>81.2</v>
      </c>
      <c r="J39">
        <v>22.1</v>
      </c>
      <c r="K39">
        <v>3.8</v>
      </c>
      <c r="L39">
        <v>6.4</v>
      </c>
      <c r="M39">
        <v>18.2</v>
      </c>
      <c r="N39">
        <v>3.1</v>
      </c>
      <c r="O39">
        <v>5.3</v>
      </c>
      <c r="Q39" s="429">
        <f t="shared" si="0"/>
        <v>20.100000000000001</v>
      </c>
      <c r="R39" s="430">
        <f t="shared" si="1"/>
        <v>25.555555555555561</v>
      </c>
      <c r="T39">
        <v>2000</v>
      </c>
      <c r="U39">
        <v>149.6</v>
      </c>
      <c r="V39" s="430">
        <v>46</v>
      </c>
      <c r="W39">
        <v>179.1</v>
      </c>
      <c r="X39" s="430">
        <f t="shared" si="2"/>
        <v>20.087336244541483</v>
      </c>
    </row>
    <row r="40" spans="3:24" x14ac:dyDescent="0.25">
      <c r="C40">
        <v>2001</v>
      </c>
      <c r="D40" s="431">
        <v>98.9</v>
      </c>
      <c r="E40" s="431">
        <v>15.3</v>
      </c>
      <c r="F40" s="431">
        <v>82.5</v>
      </c>
      <c r="G40" s="431">
        <v>94.1</v>
      </c>
      <c r="H40" s="431">
        <v>12.3</v>
      </c>
      <c r="I40" s="431">
        <v>84</v>
      </c>
      <c r="J40">
        <v>22.3</v>
      </c>
      <c r="K40">
        <v>3.8</v>
      </c>
      <c r="L40">
        <v>6.4</v>
      </c>
      <c r="M40">
        <v>18.399999999999999</v>
      </c>
      <c r="N40">
        <v>3.1</v>
      </c>
      <c r="O40">
        <v>5.3</v>
      </c>
      <c r="Q40" s="429">
        <f t="shared" si="0"/>
        <v>20.700000000000003</v>
      </c>
      <c r="R40" s="430">
        <f t="shared" si="1"/>
        <v>25</v>
      </c>
      <c r="T40">
        <v>2001</v>
      </c>
      <c r="U40">
        <v>152.30000000000001</v>
      </c>
      <c r="V40" s="430">
        <v>47.5</v>
      </c>
      <c r="W40">
        <v>186.5</v>
      </c>
      <c r="X40" s="430">
        <f t="shared" si="2"/>
        <v>20.742358078602621</v>
      </c>
    </row>
    <row r="41" spans="3:24" x14ac:dyDescent="0.25">
      <c r="C41">
        <v>2002</v>
      </c>
      <c r="D41" s="431">
        <v>94.4</v>
      </c>
      <c r="E41" s="431">
        <v>14.3</v>
      </c>
      <c r="F41" s="431">
        <v>78.5</v>
      </c>
      <c r="G41" s="431">
        <v>91.5</v>
      </c>
      <c r="H41" s="431">
        <v>12.2</v>
      </c>
      <c r="I41" s="431">
        <v>85</v>
      </c>
      <c r="J41">
        <v>21.9</v>
      </c>
      <c r="K41">
        <v>3.7</v>
      </c>
      <c r="L41">
        <v>6.3</v>
      </c>
      <c r="M41">
        <v>18.100000000000001</v>
      </c>
      <c r="N41">
        <v>3.1</v>
      </c>
      <c r="O41">
        <v>5.2</v>
      </c>
      <c r="Q41" s="429">
        <f t="shared" si="0"/>
        <v>19.7</v>
      </c>
      <c r="R41" s="430">
        <f t="shared" si="1"/>
        <v>25.660377358490571</v>
      </c>
      <c r="T41">
        <v>2002</v>
      </c>
      <c r="U41">
        <v>145.9</v>
      </c>
      <c r="V41" s="430">
        <v>45.2</v>
      </c>
      <c r="W41">
        <v>182.9</v>
      </c>
      <c r="X41" s="430">
        <f t="shared" si="2"/>
        <v>19.737991266375548</v>
      </c>
    </row>
    <row r="42" spans="3:24" x14ac:dyDescent="0.25">
      <c r="C42">
        <v>2003</v>
      </c>
      <c r="D42" s="431">
        <v>97.6</v>
      </c>
      <c r="E42" s="431">
        <v>15.3</v>
      </c>
      <c r="F42" s="431">
        <v>85</v>
      </c>
      <c r="G42" s="431">
        <v>90.5</v>
      </c>
      <c r="H42" s="431">
        <v>12.3</v>
      </c>
      <c r="I42" s="431">
        <v>85.7</v>
      </c>
      <c r="J42">
        <v>22.5</v>
      </c>
      <c r="K42">
        <v>4.0999999999999996</v>
      </c>
      <c r="L42">
        <v>6.5</v>
      </c>
      <c r="M42">
        <v>18.600000000000001</v>
      </c>
      <c r="N42">
        <v>3.4</v>
      </c>
      <c r="O42">
        <v>5.4</v>
      </c>
      <c r="Q42" s="429">
        <f t="shared" si="0"/>
        <v>20.100000000000001</v>
      </c>
      <c r="R42" s="430">
        <f t="shared" si="1"/>
        <v>27.173913043478258</v>
      </c>
      <c r="T42">
        <v>2003</v>
      </c>
      <c r="U42">
        <v>147</v>
      </c>
      <c r="V42" s="430">
        <v>45.9</v>
      </c>
      <c r="W42">
        <v>191.4</v>
      </c>
      <c r="X42" s="430">
        <f t="shared" si="2"/>
        <v>20.043668122270741</v>
      </c>
    </row>
    <row r="43" spans="3:24" x14ac:dyDescent="0.25">
      <c r="C43">
        <v>2004</v>
      </c>
      <c r="D43" s="431">
        <v>91.9</v>
      </c>
      <c r="E43" s="431">
        <v>13.9</v>
      </c>
      <c r="F43" s="431">
        <v>78.2</v>
      </c>
      <c r="G43" s="431">
        <v>92.6</v>
      </c>
      <c r="H43" s="431">
        <v>12.8</v>
      </c>
      <c r="I43" s="431">
        <v>88.5</v>
      </c>
      <c r="J43">
        <v>21.7</v>
      </c>
      <c r="K43">
        <v>3.9</v>
      </c>
      <c r="L43">
        <v>6.2</v>
      </c>
      <c r="M43">
        <v>20</v>
      </c>
      <c r="N43">
        <v>3.6</v>
      </c>
      <c r="O43">
        <v>5.7</v>
      </c>
      <c r="Q43" s="429">
        <f t="shared" si="0"/>
        <v>19.200000000000003</v>
      </c>
      <c r="R43" s="430">
        <f t="shared" si="1"/>
        <v>28.089887640449433</v>
      </c>
      <c r="T43">
        <v>2004</v>
      </c>
      <c r="U43">
        <v>142.80000000000001</v>
      </c>
      <c r="V43" s="430">
        <v>43.9</v>
      </c>
      <c r="W43">
        <v>186.5</v>
      </c>
      <c r="X43" s="430">
        <f t="shared" si="2"/>
        <v>19.170305676855893</v>
      </c>
    </row>
    <row r="44" spans="3:24" x14ac:dyDescent="0.25">
      <c r="C44">
        <v>2005</v>
      </c>
      <c r="D44" s="431">
        <v>93.7</v>
      </c>
      <c r="E44" s="431">
        <v>14.1</v>
      </c>
      <c r="F44" s="431">
        <v>83.6</v>
      </c>
      <c r="G44" s="431">
        <v>94.1</v>
      </c>
      <c r="H44" s="431">
        <v>13.2</v>
      </c>
      <c r="I44" s="431">
        <v>89.3</v>
      </c>
      <c r="J44">
        <v>22.2</v>
      </c>
      <c r="K44">
        <v>4</v>
      </c>
      <c r="L44">
        <v>6.4</v>
      </c>
      <c r="M44">
        <v>20.399999999999999</v>
      </c>
      <c r="N44">
        <v>3.7</v>
      </c>
      <c r="O44">
        <v>5.9</v>
      </c>
      <c r="Q44" s="429">
        <f t="shared" si="0"/>
        <v>19.599999999999998</v>
      </c>
      <c r="R44" s="430">
        <f t="shared" si="1"/>
        <v>28.205128205128212</v>
      </c>
      <c r="T44">
        <v>2005</v>
      </c>
      <c r="U44">
        <v>145.1</v>
      </c>
      <c r="V44" s="430">
        <v>44.9</v>
      </c>
      <c r="W44">
        <v>193.7</v>
      </c>
      <c r="X44" s="430">
        <f t="shared" si="2"/>
        <v>19.606986899563317</v>
      </c>
    </row>
    <row r="45" spans="3:24" x14ac:dyDescent="0.25">
      <c r="C45">
        <v>2006</v>
      </c>
      <c r="D45" s="431">
        <v>93.9</v>
      </c>
      <c r="E45" s="431">
        <v>14.2</v>
      </c>
      <c r="F45" s="431">
        <v>82.5</v>
      </c>
      <c r="G45" s="431">
        <v>93.2</v>
      </c>
      <c r="H45" s="431">
        <v>13.1</v>
      </c>
      <c r="I45" s="431">
        <v>90.1</v>
      </c>
      <c r="J45">
        <v>22.6</v>
      </c>
      <c r="K45">
        <v>4.0999999999999996</v>
      </c>
      <c r="L45">
        <v>6.5</v>
      </c>
      <c r="M45">
        <v>20.9</v>
      </c>
      <c r="N45">
        <v>3.8</v>
      </c>
      <c r="O45">
        <v>6</v>
      </c>
      <c r="Q45" s="429">
        <f t="shared" si="0"/>
        <v>19.399999999999999</v>
      </c>
      <c r="R45" s="430">
        <f t="shared" si="1"/>
        <v>28.937728937728942</v>
      </c>
      <c r="T45">
        <v>2006</v>
      </c>
      <c r="U45">
        <v>143.6</v>
      </c>
      <c r="V45" s="430">
        <v>44.4</v>
      </c>
      <c r="W45">
        <v>192.9</v>
      </c>
      <c r="X45" s="430">
        <f t="shared" si="2"/>
        <v>19.388646288209607</v>
      </c>
    </row>
    <row r="46" spans="3:24" x14ac:dyDescent="0.25">
      <c r="C46">
        <v>2007</v>
      </c>
      <c r="D46" s="431">
        <v>97.1</v>
      </c>
      <c r="E46" s="431">
        <v>14.1</v>
      </c>
      <c r="F46" s="431">
        <v>84.3</v>
      </c>
      <c r="G46" s="431">
        <v>93.9</v>
      </c>
      <c r="H46" s="431">
        <v>13.3</v>
      </c>
      <c r="I46" s="431">
        <v>88.2</v>
      </c>
      <c r="J46">
        <v>22.6</v>
      </c>
      <c r="K46">
        <v>4.0999999999999996</v>
      </c>
      <c r="L46">
        <v>6.5</v>
      </c>
      <c r="M46">
        <v>20.8</v>
      </c>
      <c r="N46">
        <v>3.8</v>
      </c>
      <c r="O46">
        <v>6</v>
      </c>
      <c r="Q46" s="429">
        <f t="shared" si="0"/>
        <v>19.5</v>
      </c>
      <c r="R46" s="430">
        <f t="shared" si="1"/>
        <v>28.832116788321166</v>
      </c>
      <c r="T46">
        <v>2007</v>
      </c>
      <c r="U46">
        <v>147.6</v>
      </c>
      <c r="V46" s="430">
        <v>44.8</v>
      </c>
      <c r="W46">
        <v>192.9</v>
      </c>
      <c r="X46" s="430">
        <f t="shared" si="2"/>
        <v>19.563318777292576</v>
      </c>
    </row>
    <row r="47" spans="3:24" x14ac:dyDescent="0.25">
      <c r="C47">
        <v>2008</v>
      </c>
      <c r="D47" s="431">
        <v>94</v>
      </c>
      <c r="E47" s="431">
        <v>14.3</v>
      </c>
      <c r="F47" s="431">
        <v>79.900000000000006</v>
      </c>
      <c r="G47" s="431">
        <v>94</v>
      </c>
      <c r="H47" s="431">
        <v>13.5</v>
      </c>
      <c r="I47" s="431">
        <v>87.6</v>
      </c>
      <c r="J47">
        <v>22.8</v>
      </c>
      <c r="K47">
        <v>4.0999999999999996</v>
      </c>
      <c r="L47">
        <v>6.5</v>
      </c>
      <c r="M47">
        <v>21</v>
      </c>
      <c r="N47">
        <v>3.8</v>
      </c>
      <c r="O47">
        <v>6</v>
      </c>
      <c r="Q47" s="429">
        <f t="shared" si="0"/>
        <v>19.900000000000002</v>
      </c>
      <c r="R47" s="430">
        <f t="shared" si="1"/>
        <v>28.417266187050355</v>
      </c>
      <c r="T47">
        <v>2008</v>
      </c>
      <c r="U47">
        <v>144.19999999999999</v>
      </c>
      <c r="V47" s="430">
        <v>45.6</v>
      </c>
      <c r="W47">
        <v>186.7</v>
      </c>
      <c r="X47" s="430">
        <f t="shared" si="2"/>
        <v>19.912663755458517</v>
      </c>
    </row>
    <row r="48" spans="3:24" x14ac:dyDescent="0.25">
      <c r="T48" t="s">
        <v>295</v>
      </c>
      <c r="V48" s="430"/>
      <c r="X48" s="430"/>
    </row>
    <row r="49" spans="20:24" x14ac:dyDescent="0.25">
      <c r="T49">
        <v>1990</v>
      </c>
      <c r="U49">
        <v>148.5</v>
      </c>
      <c r="V49" s="430">
        <v>41.5</v>
      </c>
      <c r="W49">
        <v>157.6</v>
      </c>
      <c r="X49" s="430">
        <f t="shared" si="2"/>
        <v>18.122270742358079</v>
      </c>
    </row>
    <row r="50" spans="20:24" x14ac:dyDescent="0.25">
      <c r="T50">
        <v>1991</v>
      </c>
      <c r="U50">
        <v>155.4</v>
      </c>
      <c r="V50" s="430">
        <v>41.8</v>
      </c>
      <c r="W50">
        <v>177.3</v>
      </c>
      <c r="X50" s="430">
        <f t="shared" si="2"/>
        <v>18.253275109170303</v>
      </c>
    </row>
    <row r="51" spans="20:24" x14ac:dyDescent="0.25">
      <c r="T51">
        <v>1992</v>
      </c>
      <c r="U51">
        <v>155.4</v>
      </c>
      <c r="V51" s="430">
        <v>41.3</v>
      </c>
      <c r="W51">
        <v>174.6</v>
      </c>
      <c r="X51" s="430">
        <f t="shared" si="2"/>
        <v>18.034934497816593</v>
      </c>
    </row>
    <row r="52" spans="20:24" x14ac:dyDescent="0.25">
      <c r="T52">
        <v>1993</v>
      </c>
      <c r="U52">
        <v>154.6</v>
      </c>
      <c r="V52" s="430">
        <v>45</v>
      </c>
      <c r="W52">
        <v>182.2</v>
      </c>
      <c r="X52" s="430">
        <f t="shared" si="2"/>
        <v>19.650655021834062</v>
      </c>
    </row>
    <row r="53" spans="20:24" x14ac:dyDescent="0.25">
      <c r="T53">
        <v>1994</v>
      </c>
      <c r="U53">
        <v>153.6</v>
      </c>
      <c r="V53" s="430">
        <v>44.3</v>
      </c>
      <c r="W53">
        <v>181.3</v>
      </c>
      <c r="X53" s="430">
        <f t="shared" si="2"/>
        <v>19.344978165938862</v>
      </c>
    </row>
    <row r="54" spans="20:24" x14ac:dyDescent="0.25">
      <c r="T54">
        <v>1995</v>
      </c>
      <c r="U54">
        <v>156.5</v>
      </c>
      <c r="V54" s="430">
        <v>44.1</v>
      </c>
      <c r="W54">
        <v>170.6</v>
      </c>
      <c r="X54" s="430">
        <f t="shared" si="2"/>
        <v>19.257641921397379</v>
      </c>
    </row>
    <row r="55" spans="20:24" x14ac:dyDescent="0.25">
      <c r="T55">
        <v>1996</v>
      </c>
      <c r="U55">
        <v>157.19999999999999</v>
      </c>
      <c r="V55" s="430">
        <v>39.799999999999997</v>
      </c>
      <c r="W55">
        <v>172.2</v>
      </c>
      <c r="X55" s="430">
        <f t="shared" si="2"/>
        <v>17.379912663755459</v>
      </c>
    </row>
    <row r="56" spans="20:24" x14ac:dyDescent="0.25">
      <c r="T56">
        <v>1997</v>
      </c>
      <c r="U56">
        <v>153.6</v>
      </c>
      <c r="V56" s="430">
        <v>41.4</v>
      </c>
      <c r="W56">
        <v>169.1</v>
      </c>
      <c r="X56" s="430">
        <f t="shared" si="2"/>
        <v>18.078602620087334</v>
      </c>
    </row>
    <row r="57" spans="20:24" x14ac:dyDescent="0.25">
      <c r="T57">
        <v>1998</v>
      </c>
      <c r="U57">
        <v>139</v>
      </c>
      <c r="V57" s="430">
        <v>40.1</v>
      </c>
      <c r="W57">
        <v>161.6</v>
      </c>
      <c r="X57" s="430">
        <f t="shared" si="2"/>
        <v>17.510917030567686</v>
      </c>
    </row>
    <row r="58" spans="20:24" x14ac:dyDescent="0.25">
      <c r="T58">
        <v>1999</v>
      </c>
      <c r="U58">
        <v>140.4</v>
      </c>
      <c r="V58" s="430">
        <v>43.2</v>
      </c>
      <c r="W58">
        <v>170.5</v>
      </c>
      <c r="X58" s="430">
        <f t="shared" si="2"/>
        <v>18.8646288209607</v>
      </c>
    </row>
    <row r="59" spans="20:24" x14ac:dyDescent="0.25">
      <c r="T59">
        <v>2000</v>
      </c>
      <c r="U59">
        <v>136.5</v>
      </c>
      <c r="V59" s="430">
        <v>42.8</v>
      </c>
      <c r="W59">
        <v>160.9</v>
      </c>
      <c r="X59" s="430">
        <f t="shared" si="2"/>
        <v>18.689956331877728</v>
      </c>
    </row>
    <row r="60" spans="20:24" x14ac:dyDescent="0.25">
      <c r="T60">
        <v>2001</v>
      </c>
      <c r="U60">
        <v>140.6</v>
      </c>
      <c r="V60" s="430">
        <v>44.6</v>
      </c>
      <c r="W60">
        <v>169.3</v>
      </c>
      <c r="X60" s="430">
        <f t="shared" si="2"/>
        <v>19.475982532751093</v>
      </c>
    </row>
    <row r="61" spans="20:24" x14ac:dyDescent="0.25">
      <c r="T61">
        <v>2002</v>
      </c>
      <c r="U61">
        <v>133.9</v>
      </c>
      <c r="V61" s="430">
        <v>42.2</v>
      </c>
      <c r="W61">
        <v>165.5</v>
      </c>
      <c r="X61" s="430">
        <f t="shared" si="2"/>
        <v>18.427947598253276</v>
      </c>
    </row>
    <row r="62" spans="20:24" x14ac:dyDescent="0.25">
      <c r="T62">
        <v>2003</v>
      </c>
      <c r="U62">
        <v>135.9</v>
      </c>
      <c r="V62" s="430">
        <v>43.3</v>
      </c>
      <c r="W62">
        <v>174.5</v>
      </c>
      <c r="X62" s="430">
        <f t="shared" si="2"/>
        <v>18.908296943231438</v>
      </c>
    </row>
    <row r="63" spans="20:24" x14ac:dyDescent="0.25">
      <c r="T63">
        <v>2004</v>
      </c>
      <c r="U63">
        <v>132.80000000000001</v>
      </c>
      <c r="V63" s="430">
        <v>41.2</v>
      </c>
      <c r="W63">
        <v>169.9</v>
      </c>
      <c r="X63" s="430">
        <f t="shared" si="2"/>
        <v>17.991266375545852</v>
      </c>
    </row>
    <row r="64" spans="20:24" x14ac:dyDescent="0.25">
      <c r="T64">
        <v>2005</v>
      </c>
      <c r="U64">
        <v>134</v>
      </c>
      <c r="V64" s="430">
        <v>42.1</v>
      </c>
      <c r="W64">
        <v>175.9</v>
      </c>
      <c r="X64" s="430">
        <f t="shared" si="2"/>
        <v>18.384279475982535</v>
      </c>
    </row>
    <row r="65" spans="20:24" x14ac:dyDescent="0.25">
      <c r="T65">
        <v>2006</v>
      </c>
      <c r="U65">
        <v>132.69999999999999</v>
      </c>
      <c r="V65" s="430">
        <v>41.7</v>
      </c>
      <c r="W65">
        <v>175.8</v>
      </c>
      <c r="X65" s="430">
        <f t="shared" si="2"/>
        <v>18.209606986899566</v>
      </c>
    </row>
    <row r="66" spans="20:24" x14ac:dyDescent="0.25">
      <c r="T66">
        <v>2007</v>
      </c>
      <c r="U66">
        <v>136.5</v>
      </c>
      <c r="V66" s="430">
        <v>41.8</v>
      </c>
      <c r="W66">
        <v>174.8</v>
      </c>
      <c r="X66" s="430">
        <f t="shared" si="2"/>
        <v>18.253275109170303</v>
      </c>
    </row>
    <row r="67" spans="20:24" x14ac:dyDescent="0.25">
      <c r="T67">
        <v>2008</v>
      </c>
      <c r="U67">
        <v>134.5</v>
      </c>
      <c r="V67" s="430">
        <v>43</v>
      </c>
      <c r="W67">
        <v>169.6</v>
      </c>
      <c r="X67" s="430">
        <f t="shared" si="2"/>
        <v>18.777292576419214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opLeftCell="B46" workbookViewId="0">
      <selection activeCell="F76" sqref="F76"/>
    </sheetView>
  </sheetViews>
  <sheetFormatPr defaultColWidth="8.85546875" defaultRowHeight="12.75" x14ac:dyDescent="0.2"/>
  <cols>
    <col min="1" max="1" width="22.7109375" style="286" customWidth="1"/>
    <col min="2" max="2" width="9" style="286" customWidth="1"/>
    <col min="3" max="3" width="11.28515625" style="286" customWidth="1"/>
    <col min="4" max="4" width="12.28515625" style="286" bestFit="1" customWidth="1"/>
    <col min="5" max="5" width="12.140625" style="286" customWidth="1"/>
    <col min="6" max="6" width="9.28515625" style="286" bestFit="1" customWidth="1"/>
    <col min="7" max="7" width="11.7109375" style="286" customWidth="1"/>
    <col min="8" max="8" width="4.85546875" style="286" customWidth="1"/>
    <col min="9" max="9" width="5.5703125" style="286" customWidth="1"/>
    <col min="10" max="10" width="5.42578125" style="286" customWidth="1"/>
    <col min="11" max="11" width="9.28515625" style="286" customWidth="1"/>
    <col min="12" max="12" width="8.85546875" style="286"/>
    <col min="13" max="13" width="10" style="286" bestFit="1" customWidth="1"/>
    <col min="14" max="14" width="8.85546875" style="286" customWidth="1"/>
    <col min="15" max="15" width="9.42578125" style="286" customWidth="1"/>
    <col min="16" max="16" width="9.28515625" style="286" customWidth="1"/>
    <col min="17" max="17" width="14.7109375" style="286" customWidth="1"/>
    <col min="18" max="18" width="21" style="286" customWidth="1"/>
    <col min="19" max="19" width="11.5703125" style="286" customWidth="1"/>
    <col min="20" max="20" width="11.140625" style="286" customWidth="1"/>
    <col min="21" max="21" width="13" style="286" customWidth="1"/>
    <col min="22" max="22" width="14.5703125" style="286" customWidth="1"/>
    <col min="23" max="25" width="11.140625" style="286" customWidth="1"/>
    <col min="26" max="26" width="8.85546875" style="286" customWidth="1"/>
    <col min="27" max="28" width="10" style="286" customWidth="1"/>
    <col min="29" max="31" width="8.85546875" style="286" customWidth="1"/>
    <col min="32" max="46" width="8.85546875" style="286"/>
    <col min="47" max="47" width="10.5703125" style="286" customWidth="1"/>
    <col min="48" max="16384" width="8.85546875" style="286"/>
  </cols>
  <sheetData>
    <row r="1" spans="1:22" ht="18" x14ac:dyDescent="0.35">
      <c r="A1" s="285" t="s">
        <v>67</v>
      </c>
    </row>
    <row r="2" spans="1:22" ht="13.9" x14ac:dyDescent="0.3">
      <c r="A2" s="287" t="s">
        <v>4</v>
      </c>
    </row>
    <row r="3" spans="1:22" ht="13.9" x14ac:dyDescent="0.3">
      <c r="A3" s="288" t="s">
        <v>5</v>
      </c>
      <c r="B3" s="284">
        <v>100</v>
      </c>
    </row>
    <row r="4" spans="1:22" ht="13.9" x14ac:dyDescent="0.3">
      <c r="A4" s="288" t="s">
        <v>62</v>
      </c>
      <c r="B4" s="284">
        <v>0</v>
      </c>
    </row>
    <row r="5" spans="1:22" ht="13.9" x14ac:dyDescent="0.3">
      <c r="A5" s="288" t="s">
        <v>63</v>
      </c>
      <c r="B5" s="284">
        <f>INVOERPAGINA!C15</f>
        <v>0</v>
      </c>
    </row>
    <row r="6" spans="1:22" ht="13.9" x14ac:dyDescent="0.3">
      <c r="A6" s="287"/>
      <c r="B6" s="289"/>
    </row>
    <row r="7" spans="1:22" ht="13.9" x14ac:dyDescent="0.3">
      <c r="A7" s="288" t="s">
        <v>103</v>
      </c>
      <c r="B7" s="284">
        <f>INVOERPAGINA!C17</f>
        <v>100</v>
      </c>
    </row>
    <row r="8" spans="1:22" ht="13.9" x14ac:dyDescent="0.3">
      <c r="A8" s="288" t="s">
        <v>158</v>
      </c>
      <c r="B8" s="284">
        <f>INVOERPAGINA!C18</f>
        <v>736500</v>
      </c>
    </row>
    <row r="9" spans="1:22" ht="13.9" x14ac:dyDescent="0.3">
      <c r="A9" s="288" t="s">
        <v>104</v>
      </c>
      <c r="B9" s="284">
        <f>INVOERPAGINA!C19</f>
        <v>4.45</v>
      </c>
    </row>
    <row r="10" spans="1:22" ht="13.9" x14ac:dyDescent="0.3">
      <c r="A10" s="288" t="s">
        <v>105</v>
      </c>
      <c r="B10" s="284">
        <f>INVOERPAGINA!C20</f>
        <v>3.5</v>
      </c>
    </row>
    <row r="11" spans="1:22" x14ac:dyDescent="0.2">
      <c r="A11" s="288" t="s">
        <v>106</v>
      </c>
      <c r="B11" s="284">
        <f>INVOERPAGINA!C21</f>
        <v>22</v>
      </c>
    </row>
    <row r="12" spans="1:22" ht="15" x14ac:dyDescent="0.25">
      <c r="C12" s="290"/>
      <c r="D12" s="290"/>
      <c r="E12" s="290"/>
      <c r="F12" s="290"/>
      <c r="G12" s="290"/>
      <c r="H12" s="290"/>
      <c r="I12" s="290"/>
      <c r="J12" s="290"/>
      <c r="K12" s="290"/>
      <c r="O12" s="577" t="s">
        <v>26</v>
      </c>
      <c r="P12" s="578"/>
      <c r="Q12" s="578"/>
      <c r="R12" s="387" t="s">
        <v>65</v>
      </c>
      <c r="S12" s="388">
        <v>5.5</v>
      </c>
      <c r="V12" s="291"/>
    </row>
    <row r="13" spans="1:22" ht="15" x14ac:dyDescent="0.25">
      <c r="A13" s="288" t="s">
        <v>0</v>
      </c>
      <c r="B13" s="284">
        <f>INVOERPAGINA!C23</f>
        <v>40</v>
      </c>
      <c r="C13" s="579" t="s">
        <v>26</v>
      </c>
      <c r="D13" s="580"/>
      <c r="E13" s="580"/>
      <c r="F13" s="292" t="s">
        <v>65</v>
      </c>
      <c r="G13" s="293">
        <v>5.5</v>
      </c>
      <c r="H13" s="294" t="s">
        <v>1</v>
      </c>
      <c r="I13" s="290"/>
      <c r="J13" s="290"/>
      <c r="K13" s="290"/>
      <c r="O13" s="389"/>
      <c r="P13" s="389"/>
      <c r="Q13" s="389"/>
      <c r="R13" s="389"/>
      <c r="S13" s="389"/>
    </row>
    <row r="14" spans="1:22" ht="15" x14ac:dyDescent="0.25">
      <c r="C14" s="290"/>
      <c r="D14" s="290"/>
      <c r="E14" s="290"/>
      <c r="F14" s="290"/>
      <c r="G14" s="290"/>
      <c r="H14" s="290"/>
      <c r="I14" s="290"/>
      <c r="J14" s="290"/>
      <c r="K14" s="290"/>
      <c r="O14" s="577" t="s">
        <v>26</v>
      </c>
      <c r="P14" s="578"/>
      <c r="Q14" s="578"/>
      <c r="R14" s="387" t="s">
        <v>65</v>
      </c>
      <c r="S14" s="388">
        <v>5.5</v>
      </c>
    </row>
    <row r="15" spans="1:22" ht="15" x14ac:dyDescent="0.25">
      <c r="A15" s="288" t="s">
        <v>6</v>
      </c>
      <c r="B15" s="284">
        <f>INVOERPAGINA!C25</f>
        <v>32.5</v>
      </c>
      <c r="C15" s="579" t="s">
        <v>26</v>
      </c>
      <c r="D15" s="580"/>
      <c r="E15" s="580"/>
      <c r="F15" s="292" t="s">
        <v>65</v>
      </c>
      <c r="G15" s="293">
        <v>5.5</v>
      </c>
      <c r="H15" s="294" t="s">
        <v>1</v>
      </c>
      <c r="I15" s="290"/>
      <c r="J15" s="290"/>
      <c r="K15" s="290"/>
    </row>
    <row r="16" spans="1:22" x14ac:dyDescent="0.2">
      <c r="A16" s="287"/>
      <c r="B16" s="289"/>
    </row>
    <row r="18" spans="1:31" x14ac:dyDescent="0.2">
      <c r="A18" s="298"/>
    </row>
    <row r="19" spans="1:31" ht="18" x14ac:dyDescent="0.35">
      <c r="A19" s="285" t="s">
        <v>159</v>
      </c>
      <c r="F19" s="299"/>
    </row>
    <row r="20" spans="1:31" ht="13.9" x14ac:dyDescent="0.3">
      <c r="A20" s="298"/>
    </row>
    <row r="21" spans="1:31" ht="13.9" x14ac:dyDescent="0.3">
      <c r="A21" s="300" t="s">
        <v>186</v>
      </c>
    </row>
    <row r="22" spans="1:31" ht="14.45" x14ac:dyDescent="0.3">
      <c r="A22" s="300"/>
      <c r="H22" s="301" t="s">
        <v>188</v>
      </c>
      <c r="L22" s="302"/>
      <c r="M22" s="298"/>
      <c r="N22" s="298"/>
    </row>
    <row r="23" spans="1:31" ht="13.9" x14ac:dyDescent="0.3">
      <c r="B23" s="303" t="s">
        <v>191</v>
      </c>
      <c r="E23" s="303" t="s">
        <v>167</v>
      </c>
      <c r="F23" s="303"/>
      <c r="G23" s="295" t="s">
        <v>150</v>
      </c>
      <c r="H23" s="295" t="s">
        <v>2</v>
      </c>
      <c r="I23" s="295" t="s">
        <v>3</v>
      </c>
      <c r="J23" s="295" t="s">
        <v>90</v>
      </c>
      <c r="L23" s="304"/>
      <c r="M23" s="305"/>
      <c r="N23" s="305"/>
      <c r="O23" s="306" t="s">
        <v>148</v>
      </c>
      <c r="P23" s="306" t="s">
        <v>154</v>
      </c>
      <c r="Q23" s="306" t="s">
        <v>155</v>
      </c>
      <c r="R23" s="306" t="s">
        <v>156</v>
      </c>
      <c r="S23" s="306" t="s">
        <v>2</v>
      </c>
      <c r="T23" s="306" t="s">
        <v>3</v>
      </c>
      <c r="U23" s="306" t="s">
        <v>90</v>
      </c>
      <c r="V23" s="306" t="s">
        <v>166</v>
      </c>
      <c r="W23" s="306" t="s">
        <v>162</v>
      </c>
      <c r="X23" s="306" t="s">
        <v>160</v>
      </c>
      <c r="Y23" s="306" t="s">
        <v>170</v>
      </c>
    </row>
    <row r="24" spans="1:31" ht="14.45" x14ac:dyDescent="0.3">
      <c r="B24" s="550" t="str">
        <f>INVOERPAGINA!B50</f>
        <v>A++ brok - Brokkema Veevoeders bv</v>
      </c>
      <c r="C24" s="583"/>
      <c r="D24" s="584"/>
      <c r="E24" s="334">
        <f>INVOERPAGINA!E50</f>
        <v>167000</v>
      </c>
      <c r="F24" s="307" t="s">
        <v>149</v>
      </c>
      <c r="G24" s="341">
        <f>INVOERPAGINA!G50</f>
        <v>900</v>
      </c>
      <c r="H24" s="342">
        <f>INVOERPAGINA!H50</f>
        <v>985</v>
      </c>
      <c r="I24" s="343">
        <f>INVOERPAGINA!I50</f>
        <v>5.2</v>
      </c>
      <c r="J24" s="334">
        <f>INVOERPAGINA!J50</f>
        <v>177</v>
      </c>
      <c r="K24" s="291"/>
      <c r="L24" s="304"/>
      <c r="M24" s="305"/>
      <c r="N24" s="305"/>
      <c r="O24" s="291">
        <f>IF(E24&gt;0,IF(F24=LIJSTJES!G$3,ACHTER_INVOER!E24,IF(ACHTER_INVOER!F24=LIJSTJES!G$2,ACHTER_INVOER!E24*ACHTER_INVOER!G24/1000,ACHTER_INVOER!E24*0)),0)</f>
        <v>150300</v>
      </c>
      <c r="P24" s="291">
        <f>IF(G24&gt;0,IF(F24=LIJSTJES!G$3,E24/G24*1000,E24),0)</f>
        <v>167000</v>
      </c>
      <c r="Q24" s="291">
        <f t="shared" ref="Q24:Q31" si="0">IF(G24&gt;750,P24,0)</f>
        <v>167000</v>
      </c>
      <c r="R24" s="291">
        <f t="shared" ref="R24:R31" si="1">IF(G24&lt;750,O24,0)</f>
        <v>0</v>
      </c>
      <c r="S24" s="291">
        <f t="shared" ref="S24:S31" si="2">H24*E24</f>
        <v>164495000</v>
      </c>
      <c r="T24" s="291">
        <f t="shared" ref="T24:T31" si="3">I24*E24</f>
        <v>868400</v>
      </c>
      <c r="U24" s="291">
        <f>IF($F24=LIJSTJES!$G$2,ACHTER_INVOER!$E24*ACHTER_INVOER!J24,IF(ACHTER_INVOER!$F24=LIJSTJES!$G$2,ACHTER_INVOER!$E24*ACHTER_INVOER!$G24/1000*ACHTER_INVOER!J24,ACHTER_INVOER!G24*0))</f>
        <v>29559000</v>
      </c>
      <c r="V24" s="291">
        <f t="shared" ref="V24:V31" si="4">IF(G24&gt;750,O24,0)</f>
        <v>150300</v>
      </c>
      <c r="W24" s="291">
        <f t="shared" ref="W24:W31" si="5">IF(G24&gt;0,H24*V24/G24*1000,0)</f>
        <v>164495000</v>
      </c>
      <c r="X24" s="291">
        <f t="shared" ref="X24:Y31" si="6">T24</f>
        <v>868400</v>
      </c>
      <c r="Y24" s="291">
        <f t="shared" si="6"/>
        <v>29559000</v>
      </c>
      <c r="Z24" s="291"/>
    </row>
    <row r="25" spans="1:31" ht="14.45" x14ac:dyDescent="0.3">
      <c r="B25" s="550" t="str">
        <f>INVOERPAGINA!B51</f>
        <v>Raapschroot - Fouragehandel Jansen</v>
      </c>
      <c r="C25" s="583"/>
      <c r="D25" s="584"/>
      <c r="E25" s="334">
        <f>INVOERPAGINA!E51</f>
        <v>36500</v>
      </c>
      <c r="F25" s="307" t="s">
        <v>149</v>
      </c>
      <c r="G25" s="341">
        <f>INVOERPAGINA!G51</f>
        <v>900</v>
      </c>
      <c r="H25" s="342">
        <f>INVOERPAGINA!H51</f>
        <v>848</v>
      </c>
      <c r="I25" s="343">
        <f>INVOERPAGINA!I51</f>
        <v>11.9</v>
      </c>
      <c r="J25" s="334">
        <f>INVOERPAGINA!J51</f>
        <v>313.125</v>
      </c>
      <c r="K25" s="291"/>
      <c r="L25" s="304"/>
      <c r="M25" s="305"/>
      <c r="N25" s="305"/>
      <c r="O25" s="291">
        <f>IF(E25&gt;0,IF(F25=LIJSTJES!G$3,ACHTER_INVOER!E25,IF(ACHTER_INVOER!F25=LIJSTJES!G$2,ACHTER_INVOER!E25*ACHTER_INVOER!G25/1000,ACHTER_INVOER!E25*0)),0)</f>
        <v>32850</v>
      </c>
      <c r="P25" s="291">
        <f>IF(G25&gt;0,IF(F25=LIJSTJES!G$3,E25/G25*1000,E25),0)</f>
        <v>36500</v>
      </c>
      <c r="Q25" s="291">
        <f t="shared" si="0"/>
        <v>36500</v>
      </c>
      <c r="R25" s="291">
        <f t="shared" si="1"/>
        <v>0</v>
      </c>
      <c r="S25" s="291">
        <f t="shared" si="2"/>
        <v>30952000</v>
      </c>
      <c r="T25" s="291">
        <f t="shared" si="3"/>
        <v>434350</v>
      </c>
      <c r="U25" s="291">
        <f>IF($F25=LIJSTJES!$G$2,ACHTER_INVOER!$E25*ACHTER_INVOER!J25,IF(ACHTER_INVOER!$F25=LIJSTJES!$G$2,ACHTER_INVOER!$E25*ACHTER_INVOER!$G25/1000*ACHTER_INVOER!J25,ACHTER_INVOER!G25*0))</f>
        <v>11429062.5</v>
      </c>
      <c r="V25" s="291">
        <f t="shared" si="4"/>
        <v>32850</v>
      </c>
      <c r="W25" s="291">
        <f t="shared" si="5"/>
        <v>30952000</v>
      </c>
      <c r="X25" s="291">
        <f t="shared" si="6"/>
        <v>434350</v>
      </c>
      <c r="Y25" s="291">
        <f t="shared" si="6"/>
        <v>11429062.5</v>
      </c>
      <c r="Z25" s="291"/>
    </row>
    <row r="26" spans="1:31" ht="14.45" x14ac:dyDescent="0.3">
      <c r="B26" s="550" t="str">
        <f>INVOERPAGINA!B52</f>
        <v>Soyaschroot - Mengvoeders United</v>
      </c>
      <c r="C26" s="583"/>
      <c r="D26" s="584"/>
      <c r="E26" s="334">
        <f>INVOERPAGINA!E52</f>
        <v>36500</v>
      </c>
      <c r="F26" s="307" t="s">
        <v>149</v>
      </c>
      <c r="G26" s="341">
        <f>INVOERPAGINA!G52</f>
        <v>900</v>
      </c>
      <c r="H26" s="342">
        <f>INVOERPAGINA!H52</f>
        <v>1014</v>
      </c>
      <c r="I26" s="343">
        <f>INVOERPAGINA!I52</f>
        <v>6.5</v>
      </c>
      <c r="J26" s="334">
        <f>INVOERPAGINA!J52</f>
        <v>464.375</v>
      </c>
      <c r="K26" s="291"/>
      <c r="L26" s="304"/>
      <c r="M26" s="305"/>
      <c r="N26" s="305"/>
      <c r="O26" s="291">
        <f>IF(E26&gt;0,IF(F26=LIJSTJES!G$3,ACHTER_INVOER!E26,IF(ACHTER_INVOER!F26=LIJSTJES!G$2,ACHTER_INVOER!E26*ACHTER_INVOER!G26/1000,ACHTER_INVOER!E26*0)),0)</f>
        <v>32850</v>
      </c>
      <c r="P26" s="291">
        <f>IF(G26&gt;0,IF(F26=LIJSTJES!G$3,E26/G26*1000,E26),0)</f>
        <v>36500</v>
      </c>
      <c r="Q26" s="291">
        <f t="shared" si="0"/>
        <v>36500</v>
      </c>
      <c r="R26" s="291">
        <f t="shared" si="1"/>
        <v>0</v>
      </c>
      <c r="S26" s="291">
        <f t="shared" si="2"/>
        <v>37011000</v>
      </c>
      <c r="T26" s="291">
        <f t="shared" si="3"/>
        <v>237250</v>
      </c>
      <c r="U26" s="291">
        <f>IF($F26=LIJSTJES!$G$2,ACHTER_INVOER!$E26*ACHTER_INVOER!J26,IF(ACHTER_INVOER!$F26=LIJSTJES!$G$2,ACHTER_INVOER!$E26*ACHTER_INVOER!$G26/1000*ACHTER_INVOER!J26,ACHTER_INVOER!G26*0))</f>
        <v>16949687.5</v>
      </c>
      <c r="V26" s="291">
        <f t="shared" si="4"/>
        <v>32850</v>
      </c>
      <c r="W26" s="291">
        <f t="shared" si="5"/>
        <v>37011000</v>
      </c>
      <c r="X26" s="291">
        <f t="shared" si="6"/>
        <v>237250</v>
      </c>
      <c r="Y26" s="291">
        <f t="shared" si="6"/>
        <v>16949687.5</v>
      </c>
      <c r="Z26" s="291"/>
    </row>
    <row r="27" spans="1:31" ht="14.45" x14ac:dyDescent="0.3">
      <c r="B27" s="550" t="str">
        <f>INVOERPAGINA!B53</f>
        <v xml:space="preserve">Bietenpulp </v>
      </c>
      <c r="C27" s="583"/>
      <c r="D27" s="584"/>
      <c r="E27" s="334">
        <f>INVOERPAGINA!E53</f>
        <v>0</v>
      </c>
      <c r="F27" s="307" t="s">
        <v>149</v>
      </c>
      <c r="G27" s="341">
        <f>INVOERPAGINA!G53</f>
        <v>900</v>
      </c>
      <c r="H27" s="342">
        <f>INVOERPAGINA!H53</f>
        <v>930</v>
      </c>
      <c r="I27" s="343">
        <f>INVOERPAGINA!I53</f>
        <v>0.9</v>
      </c>
      <c r="J27" s="334">
        <f>INVOERPAGINA!J53</f>
        <v>93.125</v>
      </c>
      <c r="K27" s="291"/>
      <c r="L27" s="304"/>
      <c r="M27" s="305"/>
      <c r="N27" s="305"/>
      <c r="O27" s="291">
        <f>IF(E27&gt;0,IF(F27=LIJSTJES!G$3,ACHTER_INVOER!E27,IF(ACHTER_INVOER!F27=LIJSTJES!G$2,ACHTER_INVOER!E27*ACHTER_INVOER!G27/1000,ACHTER_INVOER!E27*0)),0)</f>
        <v>0</v>
      </c>
      <c r="P27" s="291">
        <f>IF(G27&gt;0,IF(F27=LIJSTJES!G$3,E27/G27*1000,E27),0)</f>
        <v>0</v>
      </c>
      <c r="Q27" s="291">
        <f t="shared" si="0"/>
        <v>0</v>
      </c>
      <c r="R27" s="291">
        <f t="shared" si="1"/>
        <v>0</v>
      </c>
      <c r="S27" s="291">
        <f t="shared" si="2"/>
        <v>0</v>
      </c>
      <c r="T27" s="291">
        <f t="shared" si="3"/>
        <v>0</v>
      </c>
      <c r="U27" s="291">
        <f>IF($F27=LIJSTJES!$G$2,ACHTER_INVOER!$E27*ACHTER_INVOER!J27,IF(ACHTER_INVOER!$F27=LIJSTJES!$G$2,ACHTER_INVOER!$E27*ACHTER_INVOER!$G27/1000*ACHTER_INVOER!J27,ACHTER_INVOER!G27*0))</f>
        <v>0</v>
      </c>
      <c r="V27" s="291">
        <f t="shared" si="4"/>
        <v>0</v>
      </c>
      <c r="W27" s="291">
        <f t="shared" si="5"/>
        <v>0</v>
      </c>
      <c r="X27" s="291">
        <f t="shared" si="6"/>
        <v>0</v>
      </c>
      <c r="Y27" s="291">
        <f t="shared" si="6"/>
        <v>0</v>
      </c>
      <c r="Z27" s="291"/>
    </row>
    <row r="28" spans="1:31" ht="14.45" x14ac:dyDescent="0.3">
      <c r="B28" s="550">
        <f>INVOERPAGINA!B54</f>
        <v>0</v>
      </c>
      <c r="C28" s="583"/>
      <c r="D28" s="584"/>
      <c r="E28" s="334">
        <f>INVOERPAGINA!E54</f>
        <v>0</v>
      </c>
      <c r="F28" s="307" t="s">
        <v>149</v>
      </c>
      <c r="G28" s="341">
        <f>INVOERPAGINA!G54</f>
        <v>0</v>
      </c>
      <c r="H28" s="342">
        <f>INVOERPAGINA!H54</f>
        <v>0</v>
      </c>
      <c r="I28" s="343">
        <f>INVOERPAGINA!I54</f>
        <v>0</v>
      </c>
      <c r="J28" s="334">
        <f>INVOERPAGINA!J54</f>
        <v>0</v>
      </c>
      <c r="K28" s="291"/>
      <c r="L28" s="308"/>
      <c r="M28" s="308"/>
      <c r="N28" s="308"/>
      <c r="O28" s="291">
        <f>IF(E28&gt;0,IF(F28=LIJSTJES!G$3,ACHTER_INVOER!E28,IF(ACHTER_INVOER!F28=LIJSTJES!G$2,ACHTER_INVOER!E28*ACHTER_INVOER!G28/1000,ACHTER_INVOER!E28*0)),0)</f>
        <v>0</v>
      </c>
      <c r="P28" s="291">
        <f>IF(G28&gt;0,IF(F28=LIJSTJES!G$3,E28/G28*1000,E28),0)</f>
        <v>0</v>
      </c>
      <c r="Q28" s="291">
        <f t="shared" si="0"/>
        <v>0</v>
      </c>
      <c r="R28" s="291">
        <f t="shared" si="1"/>
        <v>0</v>
      </c>
      <c r="S28" s="291">
        <f t="shared" si="2"/>
        <v>0</v>
      </c>
      <c r="T28" s="291">
        <f t="shared" si="3"/>
        <v>0</v>
      </c>
      <c r="U28" s="291">
        <f>IF($F28=LIJSTJES!$G$2,ACHTER_INVOER!$E28*ACHTER_INVOER!J28,IF(ACHTER_INVOER!$F28=LIJSTJES!$G$2,ACHTER_INVOER!$E28*ACHTER_INVOER!$G28/1000*ACHTER_INVOER!J28,ACHTER_INVOER!G28*0))</f>
        <v>0</v>
      </c>
      <c r="V28" s="291">
        <f t="shared" si="4"/>
        <v>0</v>
      </c>
      <c r="W28" s="291">
        <f t="shared" si="5"/>
        <v>0</v>
      </c>
      <c r="X28" s="291">
        <f t="shared" si="6"/>
        <v>0</v>
      </c>
      <c r="Y28" s="291">
        <f t="shared" si="6"/>
        <v>0</v>
      </c>
      <c r="Z28" s="291"/>
    </row>
    <row r="29" spans="1:31" ht="14.45" x14ac:dyDescent="0.3">
      <c r="B29" s="550">
        <f>INVOERPAGINA!B55</f>
        <v>0</v>
      </c>
      <c r="C29" s="583"/>
      <c r="D29" s="584"/>
      <c r="E29" s="334">
        <f>INVOERPAGINA!E55</f>
        <v>0</v>
      </c>
      <c r="F29" s="307" t="s">
        <v>149</v>
      </c>
      <c r="G29" s="341">
        <f>INVOERPAGINA!G55</f>
        <v>0</v>
      </c>
      <c r="H29" s="344">
        <f>INVOERPAGINA!H55</f>
        <v>0</v>
      </c>
      <c r="I29" s="343">
        <f>INVOERPAGINA!I55</f>
        <v>0</v>
      </c>
      <c r="J29" s="334">
        <f>INVOERPAGINA!J55</f>
        <v>0</v>
      </c>
      <c r="K29" s="291"/>
      <c r="L29" s="308"/>
      <c r="M29" s="308"/>
      <c r="N29" s="308"/>
      <c r="O29" s="291">
        <f>IF(E29&gt;0,IF(F29=LIJSTJES!G$3,ACHTER_INVOER!E29,IF(ACHTER_INVOER!F29=LIJSTJES!G$2,ACHTER_INVOER!E29*ACHTER_INVOER!G29/1000,ACHTER_INVOER!E29*0)),0)</f>
        <v>0</v>
      </c>
      <c r="P29" s="291">
        <f>IF(G29&gt;0,IF(F29=LIJSTJES!G$3,E29/G29*1000,E29),0)</f>
        <v>0</v>
      </c>
      <c r="Q29" s="291">
        <f t="shared" si="0"/>
        <v>0</v>
      </c>
      <c r="R29" s="291">
        <f t="shared" si="1"/>
        <v>0</v>
      </c>
      <c r="S29" s="291">
        <f t="shared" si="2"/>
        <v>0</v>
      </c>
      <c r="T29" s="291">
        <f t="shared" si="3"/>
        <v>0</v>
      </c>
      <c r="U29" s="291">
        <f>IF($F29=LIJSTJES!$G$2,ACHTER_INVOER!$E29*ACHTER_INVOER!J29,IF(ACHTER_INVOER!$F29=LIJSTJES!$G$2,ACHTER_INVOER!$E29*ACHTER_INVOER!$G29/1000*ACHTER_INVOER!J29,ACHTER_INVOER!G29*0))</f>
        <v>0</v>
      </c>
      <c r="V29" s="291">
        <f t="shared" si="4"/>
        <v>0</v>
      </c>
      <c r="W29" s="291">
        <f t="shared" si="5"/>
        <v>0</v>
      </c>
      <c r="X29" s="291">
        <f t="shared" si="6"/>
        <v>0</v>
      </c>
      <c r="Y29" s="291">
        <f t="shared" si="6"/>
        <v>0</v>
      </c>
      <c r="Z29" s="291"/>
    </row>
    <row r="30" spans="1:31" ht="14.45" x14ac:dyDescent="0.3">
      <c r="B30" s="550">
        <f>INVOERPAGINA!B56</f>
        <v>0</v>
      </c>
      <c r="C30" s="583"/>
      <c r="D30" s="584"/>
      <c r="E30" s="334">
        <f>INVOERPAGINA!E56</f>
        <v>0</v>
      </c>
      <c r="F30" s="307" t="s">
        <v>149</v>
      </c>
      <c r="G30" s="341">
        <f>INVOERPAGINA!G56</f>
        <v>0</v>
      </c>
      <c r="H30" s="344">
        <f>INVOERPAGINA!H56</f>
        <v>0</v>
      </c>
      <c r="I30" s="343">
        <f>INVOERPAGINA!I56</f>
        <v>0</v>
      </c>
      <c r="J30" s="334">
        <f>INVOERPAGINA!J56</f>
        <v>0</v>
      </c>
      <c r="K30" s="291"/>
      <c r="L30" s="298"/>
      <c r="M30" s="298"/>
      <c r="N30" s="298"/>
      <c r="O30" s="291">
        <f>IF(E30&gt;0,IF(F30=LIJSTJES!G$3,ACHTER_INVOER!E30,IF(ACHTER_INVOER!F30=LIJSTJES!G$2,ACHTER_INVOER!E30*ACHTER_INVOER!G30/1000,ACHTER_INVOER!E30*0)),0)</f>
        <v>0</v>
      </c>
      <c r="P30" s="291">
        <f>IF(G30&gt;0,IF(F30=LIJSTJES!G$3,E30/G30*1000,E30),0)</f>
        <v>0</v>
      </c>
      <c r="Q30" s="291">
        <f t="shared" si="0"/>
        <v>0</v>
      </c>
      <c r="R30" s="291">
        <f t="shared" si="1"/>
        <v>0</v>
      </c>
      <c r="S30" s="291">
        <f t="shared" si="2"/>
        <v>0</v>
      </c>
      <c r="T30" s="291">
        <f t="shared" si="3"/>
        <v>0</v>
      </c>
      <c r="U30" s="291">
        <f>IF($F30=LIJSTJES!$G$2,ACHTER_INVOER!$E30*ACHTER_INVOER!J30,IF(ACHTER_INVOER!$F30=LIJSTJES!$G$2,ACHTER_INVOER!$E30*ACHTER_INVOER!$G30/1000*ACHTER_INVOER!J30,ACHTER_INVOER!G30*0))</f>
        <v>0</v>
      </c>
      <c r="V30" s="291">
        <f t="shared" si="4"/>
        <v>0</v>
      </c>
      <c r="W30" s="291">
        <f t="shared" si="5"/>
        <v>0</v>
      </c>
      <c r="X30" s="291">
        <f t="shared" si="6"/>
        <v>0</v>
      </c>
      <c r="Y30" s="291">
        <f t="shared" si="6"/>
        <v>0</v>
      </c>
      <c r="Z30" s="291"/>
    </row>
    <row r="31" spans="1:31" ht="14.45" x14ac:dyDescent="0.3">
      <c r="B31" s="550" t="str">
        <f>INVOERPAGINA!B57</f>
        <v>Mineralen</v>
      </c>
      <c r="C31" s="583"/>
      <c r="D31" s="584"/>
      <c r="E31" s="334">
        <f>INVOERPAGINA!E57</f>
        <v>3650</v>
      </c>
      <c r="F31" s="307" t="s">
        <v>149</v>
      </c>
      <c r="G31" s="341">
        <f>INVOERPAGINA!G57</f>
        <v>1000</v>
      </c>
      <c r="H31" s="344">
        <f>INVOERPAGINA!H57</f>
        <v>0</v>
      </c>
      <c r="I31" s="343">
        <f>INVOERPAGINA!I57</f>
        <v>4</v>
      </c>
      <c r="J31" s="334">
        <f>INVOERPAGINA!J57</f>
        <v>6.25</v>
      </c>
      <c r="K31" s="291"/>
      <c r="O31" s="291">
        <f>IF(E31&gt;0,IF(F31=LIJSTJES!G$3,ACHTER_INVOER!E31,IF(ACHTER_INVOER!F31=LIJSTJES!G$2,ACHTER_INVOER!E31*ACHTER_INVOER!G31/1000,ACHTER_INVOER!E31*0)),0)</f>
        <v>3650</v>
      </c>
      <c r="P31" s="291">
        <f>IF(G31&gt;0,IF(F31=LIJSTJES!G$3,E31/G31*1000,E31),0)</f>
        <v>3650</v>
      </c>
      <c r="Q31" s="291">
        <f t="shared" si="0"/>
        <v>3650</v>
      </c>
      <c r="R31" s="291">
        <f t="shared" si="1"/>
        <v>0</v>
      </c>
      <c r="S31" s="291">
        <f t="shared" si="2"/>
        <v>0</v>
      </c>
      <c r="T31" s="291">
        <f t="shared" si="3"/>
        <v>14600</v>
      </c>
      <c r="U31" s="291">
        <f>IF($F31=LIJSTJES!$G$2,ACHTER_INVOER!$E31*ACHTER_INVOER!J31,IF(ACHTER_INVOER!$F31=LIJSTJES!$G$2,ACHTER_INVOER!$E31*ACHTER_INVOER!$G31/1000*ACHTER_INVOER!J31,ACHTER_INVOER!G31*0))</f>
        <v>22812.5</v>
      </c>
      <c r="V31" s="291">
        <f t="shared" si="4"/>
        <v>3650</v>
      </c>
      <c r="W31" s="291">
        <f t="shared" si="5"/>
        <v>0</v>
      </c>
      <c r="X31" s="291">
        <f t="shared" si="6"/>
        <v>14600</v>
      </c>
      <c r="Y31" s="291">
        <f t="shared" si="6"/>
        <v>22812.5</v>
      </c>
      <c r="Z31" s="291"/>
    </row>
    <row r="32" spans="1:31" ht="14.45" x14ac:dyDescent="0.3">
      <c r="A32" s="298"/>
      <c r="B32" s="309"/>
      <c r="C32" s="310"/>
      <c r="D32" s="310"/>
      <c r="E32" s="311"/>
      <c r="F32" s="312"/>
      <c r="G32" s="308"/>
      <c r="H32" s="308"/>
      <c r="I32" s="308"/>
      <c r="J32" s="308"/>
      <c r="K32" s="298"/>
      <c r="L32" s="298"/>
      <c r="M32" s="298"/>
      <c r="N32" s="298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298"/>
      <c r="AB32" s="298"/>
      <c r="AC32" s="298"/>
      <c r="AD32" s="298"/>
      <c r="AE32" s="298"/>
    </row>
    <row r="33" spans="1:31" ht="14.45" x14ac:dyDescent="0.3">
      <c r="A33" s="300" t="s">
        <v>189</v>
      </c>
      <c r="B33" s="309"/>
      <c r="C33" s="310"/>
      <c r="D33" s="310"/>
      <c r="E33" s="304"/>
      <c r="F33" s="312"/>
      <c r="G33" s="308"/>
      <c r="H33" s="301" t="s">
        <v>187</v>
      </c>
      <c r="I33" s="308"/>
      <c r="J33" s="308"/>
      <c r="K33" s="298"/>
      <c r="L33" s="298"/>
      <c r="M33" s="298"/>
      <c r="N33" s="298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298"/>
      <c r="AB33" s="298"/>
      <c r="AC33" s="298"/>
      <c r="AD33" s="298"/>
      <c r="AE33" s="298"/>
    </row>
    <row r="34" spans="1:31" ht="14.45" x14ac:dyDescent="0.3">
      <c r="B34" s="303" t="s">
        <v>191</v>
      </c>
      <c r="C34" s="310"/>
      <c r="D34" s="310"/>
      <c r="E34" s="303" t="s">
        <v>167</v>
      </c>
      <c r="F34" s="303" t="s">
        <v>147</v>
      </c>
      <c r="G34" s="295" t="s">
        <v>150</v>
      </c>
      <c r="H34" s="295" t="s">
        <v>2</v>
      </c>
      <c r="I34" s="295" t="s">
        <v>3</v>
      </c>
      <c r="J34" s="295" t="s">
        <v>90</v>
      </c>
      <c r="K34" s="298"/>
      <c r="L34" s="298"/>
      <c r="M34" s="298"/>
      <c r="N34" s="298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298"/>
      <c r="AB34" s="298"/>
      <c r="AC34" s="298"/>
      <c r="AD34" s="298"/>
      <c r="AE34" s="298"/>
    </row>
    <row r="35" spans="1:31" ht="15" x14ac:dyDescent="0.25">
      <c r="B35" s="581" t="str">
        <f>INVOERPAGINA!B62</f>
        <v>Persvezels Emsland Stärke</v>
      </c>
      <c r="C35" s="582"/>
      <c r="D35" s="582"/>
      <c r="E35" s="336">
        <f>INVOERPAGINA!E62</f>
        <v>0</v>
      </c>
      <c r="F35" s="386" t="str">
        <f>INVOERPAGINA!F62</f>
        <v>kg product</v>
      </c>
      <c r="G35" s="345">
        <f>INVOERPAGINA!G62</f>
        <v>209</v>
      </c>
      <c r="H35" s="345">
        <f>INVOERPAGINA!H62</f>
        <v>1028</v>
      </c>
      <c r="I35" s="345">
        <f>INVOERPAGINA!I62</f>
        <v>0.9</v>
      </c>
      <c r="J35" s="385">
        <f>INVOERPAGINA!J62</f>
        <v>78.125</v>
      </c>
      <c r="O35" s="291">
        <f>IF(E35&gt;0,IF(F35=LIJSTJES!G$3,ACHTER_INVOER!E35,IF(ACHTER_INVOER!F35=LIJSTJES!G$2,ACHTER_INVOER!E35*ACHTER_INVOER!G35/1000,ACHTER_INVOER!E35*0)),0)</f>
        <v>0</v>
      </c>
      <c r="P35" s="291">
        <f>IF(G35&gt;0,IF(F35=LIJSTJES!G$3,E35/G35*1000,E35),0)</f>
        <v>0</v>
      </c>
      <c r="Q35" s="291">
        <f>IF(G35&gt;750,P35,0)</f>
        <v>0</v>
      </c>
      <c r="R35" s="291">
        <f>IF(G35&lt;750,O35,0)</f>
        <v>0</v>
      </c>
      <c r="S35" s="291">
        <f>IF(F35=LIJSTJES!G$3,ACHTER_INVOER!E35*ACHTER_INVOER!H35,IF(ACHTER_INVOER!F35=LIJSTJES!G$2,ACHTER_INVOER!E35*ACHTER_INVOER!G35/1000*ACHTER_INVOER!H35,ACHTER_INVOER!E35*0))</f>
        <v>0</v>
      </c>
      <c r="T35" s="291">
        <f>IF($F35=LIJSTJES!$G$3,ACHTER_INVOER!$E35*ACHTER_INVOER!I35,IF(ACHTER_INVOER!$F35=LIJSTJES!$G$2,ACHTER_INVOER!$E35*ACHTER_INVOER!$G35/1000*ACHTER_INVOER!I35,ACHTER_INVOER!F35*0))</f>
        <v>0</v>
      </c>
      <c r="U35" s="291">
        <f>IF($F35=LIJSTJES!$G$3,ACHTER_INVOER!$E35*ACHTER_INVOER!J35,IF(ACHTER_INVOER!$F35=LIJSTJES!$G$2,ACHTER_INVOER!$E35*ACHTER_INVOER!$G35/1000*ACHTER_INVOER!J35,ACHTER_INVOER!G35*0))</f>
        <v>0</v>
      </c>
      <c r="V35" s="291">
        <f>IF(G35&gt;750,O35,0)</f>
        <v>0</v>
      </c>
      <c r="W35" s="291">
        <f>H35*V35</f>
        <v>0</v>
      </c>
      <c r="X35" s="291">
        <f>I35*V35</f>
        <v>0</v>
      </c>
      <c r="Y35" s="291">
        <f>J35*V35</f>
        <v>0</v>
      </c>
      <c r="Z35" s="291"/>
    </row>
    <row r="36" spans="1:31" ht="15" x14ac:dyDescent="0.25">
      <c r="B36" s="581">
        <f>INVOERPAGINA!B63</f>
        <v>0</v>
      </c>
      <c r="C36" s="582"/>
      <c r="D36" s="582"/>
      <c r="E36" s="336">
        <f>INVOERPAGINA!E63</f>
        <v>0</v>
      </c>
      <c r="F36" s="386" t="str">
        <f>INVOERPAGINA!F63</f>
        <v>kg product</v>
      </c>
      <c r="G36" s="345">
        <f>INVOERPAGINA!G63</f>
        <v>0</v>
      </c>
      <c r="H36" s="345">
        <f>INVOERPAGINA!H63</f>
        <v>0</v>
      </c>
      <c r="I36" s="345">
        <f>INVOERPAGINA!I63</f>
        <v>0</v>
      </c>
      <c r="J36" s="385">
        <f>INVOERPAGINA!J63</f>
        <v>0</v>
      </c>
      <c r="O36" s="291">
        <f>IF(E36&gt;0,IF(F36=LIJSTJES!G$3,ACHTER_INVOER!E36,IF(ACHTER_INVOER!F36=LIJSTJES!G$2,ACHTER_INVOER!E36*ACHTER_INVOER!G36/1000,ACHTER_INVOER!E36*0)),0)</f>
        <v>0</v>
      </c>
      <c r="P36" s="291">
        <f>IF(G36&gt;0,IF(F36=LIJSTJES!G$3,E36/G36*1000,E36),0)</f>
        <v>0</v>
      </c>
      <c r="Q36" s="291">
        <f t="shared" ref="Q36:Q42" si="7">IF(G36&gt;750,P36,0)</f>
        <v>0</v>
      </c>
      <c r="R36" s="291">
        <f t="shared" ref="R36:R42" si="8">IF(G36&lt;750,O36,0)</f>
        <v>0</v>
      </c>
      <c r="S36" s="291">
        <f>IF(F36=LIJSTJES!G$3,ACHTER_INVOER!E36*ACHTER_INVOER!H36,IF(ACHTER_INVOER!F36=LIJSTJES!G$2,ACHTER_INVOER!E36*ACHTER_INVOER!G36/1000*ACHTER_INVOER!H36,ACHTER_INVOER!E36*0))</f>
        <v>0</v>
      </c>
      <c r="T36" s="291">
        <f>IF($F36=LIJSTJES!$G$3,ACHTER_INVOER!$E36*ACHTER_INVOER!I36,IF(ACHTER_INVOER!$F36=LIJSTJES!$G$2,ACHTER_INVOER!$E36*ACHTER_INVOER!$G36/1000*ACHTER_INVOER!I36,ACHTER_INVOER!F36*0))</f>
        <v>0</v>
      </c>
      <c r="U36" s="291">
        <f>IF($F36=LIJSTJES!$G$3,ACHTER_INVOER!$E36*ACHTER_INVOER!J36,IF(ACHTER_INVOER!$F36=LIJSTJES!$G$2,ACHTER_INVOER!$E36*ACHTER_INVOER!$G36/1000*ACHTER_INVOER!J36,ACHTER_INVOER!G36*0))</f>
        <v>0</v>
      </c>
      <c r="V36" s="291">
        <f t="shared" ref="V36:V42" si="9">IF(G36&gt;750,O36,0)</f>
        <v>0</v>
      </c>
      <c r="W36" s="291">
        <f t="shared" ref="W36:W42" si="10">H36*V36</f>
        <v>0</v>
      </c>
      <c r="X36" s="291">
        <f t="shared" ref="X36:X42" si="11">I36*V36</f>
        <v>0</v>
      </c>
      <c r="Y36" s="291">
        <f t="shared" ref="Y36:Y42" si="12">J36*V36</f>
        <v>0</v>
      </c>
      <c r="Z36" s="291"/>
    </row>
    <row r="37" spans="1:31" ht="15" x14ac:dyDescent="0.25">
      <c r="B37" s="581">
        <f>INVOERPAGINA!B64</f>
        <v>0</v>
      </c>
      <c r="C37" s="582"/>
      <c r="D37" s="582"/>
      <c r="E37" s="336">
        <f>INVOERPAGINA!E64</f>
        <v>0</v>
      </c>
      <c r="F37" s="386" t="str">
        <f>INVOERPAGINA!F64</f>
        <v>kg product</v>
      </c>
      <c r="G37" s="345">
        <f>INVOERPAGINA!G64</f>
        <v>0</v>
      </c>
      <c r="H37" s="345">
        <f>INVOERPAGINA!H64</f>
        <v>0</v>
      </c>
      <c r="I37" s="345">
        <f>INVOERPAGINA!I64</f>
        <v>0</v>
      </c>
      <c r="J37" s="385">
        <f>INVOERPAGINA!J64</f>
        <v>0</v>
      </c>
      <c r="O37" s="291">
        <f>IF(E37&gt;0,IF(F37=LIJSTJES!G$3,ACHTER_INVOER!E37,IF(ACHTER_INVOER!F37=LIJSTJES!G$2,ACHTER_INVOER!E37*ACHTER_INVOER!G37/1000,ACHTER_INVOER!E37*0)),0)</f>
        <v>0</v>
      </c>
      <c r="P37" s="291">
        <f>IF(G37&gt;0,IF(F37=LIJSTJES!G$3,E37/G37*1000,E37),0)</f>
        <v>0</v>
      </c>
      <c r="Q37" s="291">
        <f t="shared" si="7"/>
        <v>0</v>
      </c>
      <c r="R37" s="291">
        <f t="shared" si="8"/>
        <v>0</v>
      </c>
      <c r="S37" s="291">
        <f>IF(F37=LIJSTJES!G$3,ACHTER_INVOER!E37*ACHTER_INVOER!H37,IF(ACHTER_INVOER!F37=LIJSTJES!G$2,ACHTER_INVOER!E37*ACHTER_INVOER!G37/1000*ACHTER_INVOER!H37,ACHTER_INVOER!E37*0))</f>
        <v>0</v>
      </c>
      <c r="T37" s="291">
        <f>IF($F37=LIJSTJES!$G$3,ACHTER_INVOER!$E37*ACHTER_INVOER!I37,IF(ACHTER_INVOER!$F37=LIJSTJES!$G$2,ACHTER_INVOER!$E37*ACHTER_INVOER!$G37/1000*ACHTER_INVOER!I37,ACHTER_INVOER!F37*0))</f>
        <v>0</v>
      </c>
      <c r="U37" s="291">
        <f>IF($F37=LIJSTJES!$G$3,ACHTER_INVOER!$E37*ACHTER_INVOER!J37,IF(ACHTER_INVOER!$F37=LIJSTJES!$G$2,ACHTER_INVOER!$E37*ACHTER_INVOER!$G37/1000*ACHTER_INVOER!J37,ACHTER_INVOER!G37*0))</f>
        <v>0</v>
      </c>
      <c r="V37" s="291">
        <f t="shared" si="9"/>
        <v>0</v>
      </c>
      <c r="W37" s="291">
        <f t="shared" si="10"/>
        <v>0</v>
      </c>
      <c r="X37" s="291">
        <f t="shared" si="11"/>
        <v>0</v>
      </c>
      <c r="Y37" s="291">
        <f t="shared" si="12"/>
        <v>0</v>
      </c>
      <c r="Z37" s="291"/>
    </row>
    <row r="38" spans="1:31" ht="15" x14ac:dyDescent="0.25">
      <c r="B38" s="581">
        <f>INVOERPAGINA!B65</f>
        <v>0</v>
      </c>
      <c r="C38" s="582"/>
      <c r="D38" s="582"/>
      <c r="E38" s="336">
        <f>INVOERPAGINA!E65</f>
        <v>0</v>
      </c>
      <c r="F38" s="386" t="str">
        <f>INVOERPAGINA!F65</f>
        <v>kg DS</v>
      </c>
      <c r="G38" s="345">
        <f>INVOERPAGINA!G65</f>
        <v>0</v>
      </c>
      <c r="H38" s="345">
        <f>INVOERPAGINA!H65</f>
        <v>0</v>
      </c>
      <c r="I38" s="345">
        <f>INVOERPAGINA!I65</f>
        <v>0</v>
      </c>
      <c r="J38" s="385">
        <f>INVOERPAGINA!J65</f>
        <v>0</v>
      </c>
      <c r="O38" s="291">
        <f>IF(E38&gt;0,IF(F38=LIJSTJES!G$3,ACHTER_INVOER!E38,IF(ACHTER_INVOER!F38=LIJSTJES!G$2,ACHTER_INVOER!E38*ACHTER_INVOER!G38/1000,ACHTER_INVOER!E38*0)),0)</f>
        <v>0</v>
      </c>
      <c r="P38" s="291">
        <f>IF(G38&gt;0,IF(F38=LIJSTJES!G$3,E38/G38*1000,E38),0)</f>
        <v>0</v>
      </c>
      <c r="Q38" s="291">
        <f t="shared" si="7"/>
        <v>0</v>
      </c>
      <c r="R38" s="291">
        <f t="shared" si="8"/>
        <v>0</v>
      </c>
      <c r="S38" s="291">
        <f>IF(F38=LIJSTJES!G$3,ACHTER_INVOER!E38*ACHTER_INVOER!H38,IF(ACHTER_INVOER!F38=LIJSTJES!G$2,ACHTER_INVOER!E38*ACHTER_INVOER!G38/1000*ACHTER_INVOER!H38,ACHTER_INVOER!E38*0))</f>
        <v>0</v>
      </c>
      <c r="T38" s="291">
        <f>IF($F38=LIJSTJES!$G$3,ACHTER_INVOER!$E38*ACHTER_INVOER!I38,IF(ACHTER_INVOER!$F38=LIJSTJES!$G$2,ACHTER_INVOER!$E38*ACHTER_INVOER!$G38/1000*ACHTER_INVOER!I38,ACHTER_INVOER!F38*0))</f>
        <v>0</v>
      </c>
      <c r="U38" s="291">
        <f>IF($F38=LIJSTJES!$G$3,ACHTER_INVOER!$E38*ACHTER_INVOER!J38,IF(ACHTER_INVOER!$F38=LIJSTJES!$G$2,ACHTER_INVOER!$E38*ACHTER_INVOER!$G38/1000*ACHTER_INVOER!J38,ACHTER_INVOER!G38*0))</f>
        <v>0</v>
      </c>
      <c r="V38" s="291">
        <f t="shared" si="9"/>
        <v>0</v>
      </c>
      <c r="W38" s="291">
        <f t="shared" si="10"/>
        <v>0</v>
      </c>
      <c r="X38" s="291">
        <f t="shared" si="11"/>
        <v>0</v>
      </c>
      <c r="Y38" s="291">
        <f t="shared" si="12"/>
        <v>0</v>
      </c>
      <c r="Z38" s="291"/>
    </row>
    <row r="39" spans="1:31" ht="15" x14ac:dyDescent="0.25">
      <c r="B39" s="581">
        <f>INVOERPAGINA!B66</f>
        <v>0</v>
      </c>
      <c r="C39" s="582"/>
      <c r="D39" s="582"/>
      <c r="E39" s="336">
        <f>INVOERPAGINA!E66</f>
        <v>0</v>
      </c>
      <c r="F39" s="386" t="str">
        <f>INVOERPAGINA!F66</f>
        <v>kg DS</v>
      </c>
      <c r="G39" s="345">
        <f>INVOERPAGINA!G66</f>
        <v>0</v>
      </c>
      <c r="H39" s="345">
        <f>INVOERPAGINA!H66</f>
        <v>0</v>
      </c>
      <c r="I39" s="345">
        <f>INVOERPAGINA!I66</f>
        <v>0</v>
      </c>
      <c r="J39" s="385">
        <f>INVOERPAGINA!J66</f>
        <v>0</v>
      </c>
      <c r="O39" s="291">
        <f>IF(E39&gt;0,IF(F39=LIJSTJES!G$3,ACHTER_INVOER!E39,IF(ACHTER_INVOER!F39=LIJSTJES!G$2,ACHTER_INVOER!E39*ACHTER_INVOER!G39/1000,ACHTER_INVOER!E39*0)),0)</f>
        <v>0</v>
      </c>
      <c r="P39" s="291">
        <f>IF(G39&gt;0,IF(F39=LIJSTJES!G$3,E39/G39*1000,E39),0)</f>
        <v>0</v>
      </c>
      <c r="Q39" s="291">
        <f t="shared" si="7"/>
        <v>0</v>
      </c>
      <c r="R39" s="291">
        <f t="shared" si="8"/>
        <v>0</v>
      </c>
      <c r="S39" s="291">
        <f>IF(F39=LIJSTJES!G$3,ACHTER_INVOER!E39*ACHTER_INVOER!H39,IF(ACHTER_INVOER!F39=LIJSTJES!G$2,ACHTER_INVOER!E39*ACHTER_INVOER!G39/1000*ACHTER_INVOER!H39,ACHTER_INVOER!E39*0))</f>
        <v>0</v>
      </c>
      <c r="T39" s="291">
        <f>IF($F39=LIJSTJES!$G$3,ACHTER_INVOER!$E39*ACHTER_INVOER!I39,IF(ACHTER_INVOER!$F39=LIJSTJES!$G$2,ACHTER_INVOER!$E39*ACHTER_INVOER!$G39/1000*ACHTER_INVOER!I39,ACHTER_INVOER!F39*0))</f>
        <v>0</v>
      </c>
      <c r="U39" s="291">
        <f>IF($F39=LIJSTJES!$G$3,ACHTER_INVOER!$E39*ACHTER_INVOER!J39,IF(ACHTER_INVOER!$F39=LIJSTJES!$G$2,ACHTER_INVOER!$E39*ACHTER_INVOER!$G39/1000*ACHTER_INVOER!J39,ACHTER_INVOER!G39*0))</f>
        <v>0</v>
      </c>
      <c r="V39" s="291">
        <f t="shared" si="9"/>
        <v>0</v>
      </c>
      <c r="W39" s="291">
        <f t="shared" si="10"/>
        <v>0</v>
      </c>
      <c r="X39" s="291">
        <f t="shared" si="11"/>
        <v>0</v>
      </c>
      <c r="Y39" s="291">
        <f t="shared" si="12"/>
        <v>0</v>
      </c>
      <c r="Z39" s="291"/>
    </row>
    <row r="40" spans="1:31" ht="15" x14ac:dyDescent="0.25">
      <c r="B40" s="581">
        <f>INVOERPAGINA!B67</f>
        <v>0</v>
      </c>
      <c r="C40" s="582"/>
      <c r="D40" s="582"/>
      <c r="E40" s="336">
        <f>INVOERPAGINA!E67</f>
        <v>0</v>
      </c>
      <c r="F40" s="386" t="str">
        <f>INVOERPAGINA!F67</f>
        <v>kg DS</v>
      </c>
      <c r="G40" s="345">
        <f>INVOERPAGINA!G67</f>
        <v>0</v>
      </c>
      <c r="H40" s="345">
        <f>INVOERPAGINA!H67</f>
        <v>0</v>
      </c>
      <c r="I40" s="345">
        <f>INVOERPAGINA!I67</f>
        <v>0</v>
      </c>
      <c r="J40" s="385">
        <f>INVOERPAGINA!J67</f>
        <v>0</v>
      </c>
      <c r="O40" s="291">
        <f>IF(E40&gt;0,IF(F40=LIJSTJES!G$3,ACHTER_INVOER!E40,IF(ACHTER_INVOER!F40=LIJSTJES!G$2,ACHTER_INVOER!E40*ACHTER_INVOER!G40/1000,ACHTER_INVOER!E40*0)),0)</f>
        <v>0</v>
      </c>
      <c r="P40" s="291">
        <f>IF(G40&gt;0,IF(F40=LIJSTJES!G$3,E40/G40*1000,E40),0)</f>
        <v>0</v>
      </c>
      <c r="Q40" s="291">
        <f t="shared" si="7"/>
        <v>0</v>
      </c>
      <c r="R40" s="291">
        <f t="shared" si="8"/>
        <v>0</v>
      </c>
      <c r="S40" s="291">
        <f>IF(F40=LIJSTJES!G$3,ACHTER_INVOER!E40*ACHTER_INVOER!H40,IF(ACHTER_INVOER!F40=LIJSTJES!G$2,ACHTER_INVOER!E40*ACHTER_INVOER!G40/1000*ACHTER_INVOER!H40,ACHTER_INVOER!E40*0))</f>
        <v>0</v>
      </c>
      <c r="T40" s="291">
        <f>IF($F40=LIJSTJES!$G$3,ACHTER_INVOER!$E40*ACHTER_INVOER!I40,IF(ACHTER_INVOER!$F40=LIJSTJES!$G$2,ACHTER_INVOER!$E40*ACHTER_INVOER!$G40/1000*ACHTER_INVOER!I40,ACHTER_INVOER!F40*0))</f>
        <v>0</v>
      </c>
      <c r="U40" s="291">
        <f>IF($F40=LIJSTJES!$G$3,ACHTER_INVOER!$E40*ACHTER_INVOER!J40,IF(ACHTER_INVOER!$F40=LIJSTJES!$G$2,ACHTER_INVOER!$E40*ACHTER_INVOER!$G40/1000*ACHTER_INVOER!J40,ACHTER_INVOER!G40*0))</f>
        <v>0</v>
      </c>
      <c r="V40" s="291">
        <f t="shared" si="9"/>
        <v>0</v>
      </c>
      <c r="W40" s="291">
        <f t="shared" si="10"/>
        <v>0</v>
      </c>
      <c r="X40" s="291">
        <f t="shared" si="11"/>
        <v>0</v>
      </c>
      <c r="Y40" s="291">
        <f t="shared" si="12"/>
        <v>0</v>
      </c>
      <c r="Z40" s="291"/>
    </row>
    <row r="41" spans="1:31" ht="15" x14ac:dyDescent="0.25">
      <c r="B41" s="581">
        <f>INVOERPAGINA!B68</f>
        <v>0</v>
      </c>
      <c r="C41" s="582"/>
      <c r="D41" s="582"/>
      <c r="E41" s="336">
        <f>INVOERPAGINA!E68</f>
        <v>0</v>
      </c>
      <c r="F41" s="386" t="str">
        <f>INVOERPAGINA!F68</f>
        <v>kg DS</v>
      </c>
      <c r="G41" s="345">
        <f>INVOERPAGINA!G68</f>
        <v>0</v>
      </c>
      <c r="H41" s="345">
        <f>INVOERPAGINA!H68</f>
        <v>0</v>
      </c>
      <c r="I41" s="345">
        <f>INVOERPAGINA!I68</f>
        <v>0</v>
      </c>
      <c r="J41" s="385">
        <f>INVOERPAGINA!J68</f>
        <v>0</v>
      </c>
      <c r="O41" s="291">
        <f>IF(E41&gt;0,IF(F41=LIJSTJES!G$3,ACHTER_INVOER!E41,IF(ACHTER_INVOER!F41=LIJSTJES!G$2,ACHTER_INVOER!E41*ACHTER_INVOER!G41/1000,ACHTER_INVOER!E41*0)),0)</f>
        <v>0</v>
      </c>
      <c r="P41" s="291">
        <f>IF(G41&gt;0,IF(F41=LIJSTJES!G$3,E41/G41*1000,E41),0)</f>
        <v>0</v>
      </c>
      <c r="Q41" s="291">
        <f t="shared" si="7"/>
        <v>0</v>
      </c>
      <c r="R41" s="291">
        <f t="shared" si="8"/>
        <v>0</v>
      </c>
      <c r="S41" s="291">
        <f>IF(F41=LIJSTJES!G$3,ACHTER_INVOER!E41*ACHTER_INVOER!H41,IF(ACHTER_INVOER!F41=LIJSTJES!G$2,ACHTER_INVOER!E41*ACHTER_INVOER!G41/1000*ACHTER_INVOER!H41,ACHTER_INVOER!E41*0))</f>
        <v>0</v>
      </c>
      <c r="T41" s="291">
        <f>IF($F41=LIJSTJES!$G$3,ACHTER_INVOER!$E41*ACHTER_INVOER!I41,IF(ACHTER_INVOER!$F41=LIJSTJES!$G$2,ACHTER_INVOER!$E41*ACHTER_INVOER!$G41/1000*ACHTER_INVOER!I41,ACHTER_INVOER!F41*0))</f>
        <v>0</v>
      </c>
      <c r="U41" s="291">
        <f>IF($F41=LIJSTJES!$G$3,ACHTER_INVOER!$E41*ACHTER_INVOER!J41,IF(ACHTER_INVOER!$F41=LIJSTJES!$G$2,ACHTER_INVOER!$E41*ACHTER_INVOER!$G41/1000*ACHTER_INVOER!J41,ACHTER_INVOER!G41*0))</f>
        <v>0</v>
      </c>
      <c r="V41" s="291">
        <f t="shared" si="9"/>
        <v>0</v>
      </c>
      <c r="W41" s="291">
        <f t="shared" si="10"/>
        <v>0</v>
      </c>
      <c r="X41" s="291">
        <f t="shared" si="11"/>
        <v>0</v>
      </c>
      <c r="Y41" s="291">
        <f t="shared" si="12"/>
        <v>0</v>
      </c>
      <c r="Z41" s="291"/>
    </row>
    <row r="42" spans="1:31" ht="15" x14ac:dyDescent="0.25">
      <c r="B42" s="581">
        <f>INVOERPAGINA!B69</f>
        <v>0</v>
      </c>
      <c r="C42" s="582"/>
      <c r="D42" s="582"/>
      <c r="E42" s="336">
        <f>INVOERPAGINA!E69</f>
        <v>0</v>
      </c>
      <c r="F42" s="386" t="str">
        <f>INVOERPAGINA!F69</f>
        <v>kg DS</v>
      </c>
      <c r="G42" s="345">
        <f>INVOERPAGINA!G69</f>
        <v>0</v>
      </c>
      <c r="H42" s="345">
        <f>INVOERPAGINA!H69</f>
        <v>0</v>
      </c>
      <c r="I42" s="345">
        <f>INVOERPAGINA!I69</f>
        <v>0</v>
      </c>
      <c r="J42" s="385">
        <f>INVOERPAGINA!J69</f>
        <v>0</v>
      </c>
      <c r="O42" s="291">
        <f>IF(E42&gt;0,IF(F42=LIJSTJES!G$3,ACHTER_INVOER!E42,IF(ACHTER_INVOER!F42=LIJSTJES!G$2,ACHTER_INVOER!E42*ACHTER_INVOER!G42/1000,ACHTER_INVOER!E42*0)),0)</f>
        <v>0</v>
      </c>
      <c r="P42" s="291">
        <f>IF(G42&gt;0,IF(F42=LIJSTJES!G$3,E42/G42*1000,E42),0)</f>
        <v>0</v>
      </c>
      <c r="Q42" s="291">
        <f t="shared" si="7"/>
        <v>0</v>
      </c>
      <c r="R42" s="291">
        <f t="shared" si="8"/>
        <v>0</v>
      </c>
      <c r="S42" s="291">
        <f>IF(F42=LIJSTJES!G$3,ACHTER_INVOER!E42*ACHTER_INVOER!H42,IF(ACHTER_INVOER!F42=LIJSTJES!G$2,ACHTER_INVOER!E42*ACHTER_INVOER!G42/1000*ACHTER_INVOER!H42,ACHTER_INVOER!E42*0))</f>
        <v>0</v>
      </c>
      <c r="T42" s="291">
        <f>IF($F42=LIJSTJES!$G$3,ACHTER_INVOER!$E42*ACHTER_INVOER!I42,IF(ACHTER_INVOER!$F42=LIJSTJES!$G$2,ACHTER_INVOER!$E42*ACHTER_INVOER!$G42/1000*ACHTER_INVOER!I42,ACHTER_INVOER!F42*0))</f>
        <v>0</v>
      </c>
      <c r="U42" s="291">
        <f>IF($F42=LIJSTJES!$G$3,ACHTER_INVOER!$E42*ACHTER_INVOER!J42,IF(ACHTER_INVOER!$F42=LIJSTJES!$G$2,ACHTER_INVOER!$E42*ACHTER_INVOER!$G42/1000*ACHTER_INVOER!J42,ACHTER_INVOER!G42*0))</f>
        <v>0</v>
      </c>
      <c r="V42" s="291">
        <f t="shared" si="9"/>
        <v>0</v>
      </c>
      <c r="W42" s="291">
        <f t="shared" si="10"/>
        <v>0</v>
      </c>
      <c r="X42" s="291">
        <f t="shared" si="11"/>
        <v>0</v>
      </c>
      <c r="Y42" s="291">
        <f t="shared" si="12"/>
        <v>0</v>
      </c>
      <c r="Z42" s="291"/>
    </row>
    <row r="43" spans="1:31" ht="15" x14ac:dyDescent="0.25">
      <c r="B43" s="581" t="str">
        <f>INVOERPAGINA!B70</f>
        <v>Perspulp</v>
      </c>
      <c r="C43" s="582"/>
      <c r="D43" s="582"/>
      <c r="E43" s="336">
        <f>INVOERPAGINA!E70</f>
        <v>0</v>
      </c>
      <c r="F43" s="386" t="str">
        <f>INVOERPAGINA!F70</f>
        <v>kg product</v>
      </c>
      <c r="G43" s="345">
        <f>INVOERPAGINA!G70</f>
        <v>231</v>
      </c>
      <c r="H43" s="345">
        <f>INVOERPAGINA!H70</f>
        <v>1019</v>
      </c>
      <c r="I43" s="345">
        <f>INVOERPAGINA!I70</f>
        <v>0.9</v>
      </c>
      <c r="J43" s="385">
        <f>INVOERPAGINA!J70</f>
        <v>98.125</v>
      </c>
      <c r="O43" s="291">
        <f>IF(E43&gt;0,IF(F43=LIJSTJES!G$3,ACHTER_INVOER!E43,IF(ACHTER_INVOER!F43=LIJSTJES!G$2,ACHTER_INVOER!E43*ACHTER_INVOER!G43/1000,ACHTER_INVOER!E43*0)),0)</f>
        <v>0</v>
      </c>
      <c r="P43" s="291">
        <f>IF(G43&gt;0,IF(F43=LIJSTJES!G$3,E43/G43*1000,E43),0)</f>
        <v>0</v>
      </c>
      <c r="Q43" s="291">
        <f>IF(G43&gt;750,P43,0)</f>
        <v>0</v>
      </c>
      <c r="R43" s="291">
        <f>IF(G43&lt;750,O43,0)</f>
        <v>0</v>
      </c>
      <c r="S43" s="291">
        <f>IF(F43=LIJSTJES!G$3,ACHTER_INVOER!E43*ACHTER_INVOER!H43,IF(ACHTER_INVOER!F43=LIJSTJES!G$2,ACHTER_INVOER!E43*ACHTER_INVOER!G43/1000*ACHTER_INVOER!H43,ACHTER_INVOER!E43*0))</f>
        <v>0</v>
      </c>
      <c r="T43" s="291">
        <f>IF($F43=LIJSTJES!$G$3,ACHTER_INVOER!$E43*ACHTER_INVOER!I43,IF(ACHTER_INVOER!$F43=LIJSTJES!$G$2,ACHTER_INVOER!$E43*ACHTER_INVOER!$G43/1000*ACHTER_INVOER!I43,ACHTER_INVOER!F43*0))</f>
        <v>0</v>
      </c>
      <c r="U43" s="291">
        <f>IF($F43=LIJSTJES!$G$3,ACHTER_INVOER!$E43*ACHTER_INVOER!J43,IF(ACHTER_INVOER!$F43=LIJSTJES!$G$2,ACHTER_INVOER!$E43*ACHTER_INVOER!$G43/1000*ACHTER_INVOER!J43,ACHTER_INVOER!G43*0))</f>
        <v>0</v>
      </c>
      <c r="V43" s="291">
        <f>IF(G43&gt;750,O43,0)</f>
        <v>0</v>
      </c>
      <c r="W43" s="291">
        <f>H43*V43</f>
        <v>0</v>
      </c>
      <c r="X43" s="291">
        <f>I43*V43</f>
        <v>0</v>
      </c>
      <c r="Y43" s="291">
        <f>J43*V43</f>
        <v>0</v>
      </c>
      <c r="Z43" s="291"/>
    </row>
    <row r="44" spans="1:31" ht="14.45" x14ac:dyDescent="0.3">
      <c r="B44" s="581" t="str">
        <f>INVOERPAGINA!B71</f>
        <v>Bierbostel Brouwerij Goudgele Rakker</v>
      </c>
      <c r="C44" s="582"/>
      <c r="D44" s="582"/>
      <c r="E44" s="336">
        <f>INVOERPAGINA!E71</f>
        <v>0</v>
      </c>
      <c r="F44" s="386" t="str">
        <f>INVOERPAGINA!F71</f>
        <v>kg product</v>
      </c>
      <c r="G44" s="345">
        <f>INVOERPAGINA!G71</f>
        <v>220</v>
      </c>
      <c r="H44" s="345">
        <f>INVOERPAGINA!H71</f>
        <v>896</v>
      </c>
      <c r="I44" s="346">
        <f>INVOERPAGINA!I71</f>
        <v>4.2</v>
      </c>
      <c r="J44" s="421">
        <f>INVOERPAGINA!J71</f>
        <v>180</v>
      </c>
      <c r="O44" s="291">
        <f>IF(E44&gt;0,IF(F44=LIJSTJES!G$3,ACHTER_INVOER!E44,IF(ACHTER_INVOER!F44=LIJSTJES!G$2,ACHTER_INVOER!E44*ACHTER_INVOER!G44/1000,ACHTER_INVOER!E44*0)),0)</f>
        <v>0</v>
      </c>
      <c r="P44" s="291">
        <f>IF(G44&gt;0,IF(F44=LIJSTJES!G$3,E44/G44*1000,E44),0)</f>
        <v>0</v>
      </c>
      <c r="Q44" s="291">
        <f>IF(G44&gt;750,P44,0)</f>
        <v>0</v>
      </c>
      <c r="R44" s="291">
        <f>IF(G44&lt;750,O44,0)</f>
        <v>0</v>
      </c>
      <c r="S44" s="291">
        <f>IF(F44=LIJSTJES!G$3,ACHTER_INVOER!E44*ACHTER_INVOER!H44,IF(ACHTER_INVOER!F44=LIJSTJES!G$2,ACHTER_INVOER!E44*ACHTER_INVOER!G44/1000*ACHTER_INVOER!H44,ACHTER_INVOER!E44*0))</f>
        <v>0</v>
      </c>
      <c r="T44" s="291">
        <f>IF($F44=LIJSTJES!$G$3,ACHTER_INVOER!$E44*ACHTER_INVOER!I44,IF(ACHTER_INVOER!$F44=LIJSTJES!$G$2,ACHTER_INVOER!$E44*ACHTER_INVOER!$G44/1000*ACHTER_INVOER!I44,ACHTER_INVOER!F44*0))</f>
        <v>0</v>
      </c>
      <c r="U44" s="291">
        <f>IF($F44=LIJSTJES!$G$3,ACHTER_INVOER!$E44*ACHTER_INVOER!J44,IF(ACHTER_INVOER!$F44=LIJSTJES!$G$2,ACHTER_INVOER!$E44*ACHTER_INVOER!$G44/1000*ACHTER_INVOER!J44,ACHTER_INVOER!G44*0))</f>
        <v>0</v>
      </c>
      <c r="V44" s="291">
        <f>IF(G44&gt;750,O44,0)</f>
        <v>0</v>
      </c>
      <c r="W44" s="291">
        <f>H44*V44</f>
        <v>0</v>
      </c>
      <c r="X44" s="291">
        <f>I44*V44</f>
        <v>0</v>
      </c>
      <c r="Y44" s="291">
        <f>J44*V44</f>
        <v>0</v>
      </c>
      <c r="Z44" s="291"/>
    </row>
    <row r="45" spans="1:31" ht="13.9" x14ac:dyDescent="0.3">
      <c r="H45" s="301" t="s">
        <v>187</v>
      </c>
      <c r="O45" s="314">
        <f t="shared" ref="O45:Y45" si="13">SUM(O24:O44)</f>
        <v>219650</v>
      </c>
      <c r="P45" s="314">
        <f t="shared" si="13"/>
        <v>243650</v>
      </c>
      <c r="Q45" s="314">
        <f t="shared" si="13"/>
        <v>243650</v>
      </c>
      <c r="R45" s="314">
        <f t="shared" si="13"/>
        <v>0</v>
      </c>
      <c r="S45" s="314">
        <f t="shared" si="13"/>
        <v>232458000</v>
      </c>
      <c r="T45" s="314">
        <f t="shared" si="13"/>
        <v>1554600</v>
      </c>
      <c r="U45" s="314">
        <f t="shared" si="13"/>
        <v>57960562.5</v>
      </c>
      <c r="V45" s="314">
        <f t="shared" si="13"/>
        <v>219650</v>
      </c>
      <c r="W45" s="314">
        <f t="shared" si="13"/>
        <v>232458000</v>
      </c>
      <c r="X45" s="314">
        <f t="shared" si="13"/>
        <v>1554600</v>
      </c>
      <c r="Y45" s="314">
        <f t="shared" si="13"/>
        <v>57960562.5</v>
      </c>
      <c r="Z45" s="314">
        <f>IF(O45&gt;0,S45/O45,0)</f>
        <v>1058.3109492374231</v>
      </c>
      <c r="AA45" s="315">
        <f>T45/S45*1000</f>
        <v>6.6876597062695193</v>
      </c>
      <c r="AB45" s="314">
        <f>U45/S45*1000</f>
        <v>249.33778359961801</v>
      </c>
    </row>
    <row r="46" spans="1:31" ht="13.9" x14ac:dyDescent="0.3">
      <c r="A46" s="300" t="s">
        <v>163</v>
      </c>
      <c r="E46" s="303" t="s">
        <v>167</v>
      </c>
      <c r="F46" s="295" t="s">
        <v>147</v>
      </c>
      <c r="G46" s="295" t="s">
        <v>150</v>
      </c>
      <c r="H46" s="295" t="s">
        <v>2</v>
      </c>
      <c r="I46" s="295" t="s">
        <v>3</v>
      </c>
      <c r="J46" s="295" t="s">
        <v>90</v>
      </c>
      <c r="O46" s="306" t="s">
        <v>148</v>
      </c>
      <c r="P46" s="306" t="s">
        <v>154</v>
      </c>
      <c r="S46" s="306" t="s">
        <v>2</v>
      </c>
      <c r="T46" s="306" t="s">
        <v>3</v>
      </c>
      <c r="U46" s="306" t="s">
        <v>90</v>
      </c>
      <c r="V46" s="306" t="s">
        <v>169</v>
      </c>
      <c r="W46" s="286" t="s">
        <v>172</v>
      </c>
      <c r="X46" s="286" t="s">
        <v>173</v>
      </c>
      <c r="Y46" s="286" t="s">
        <v>174</v>
      </c>
    </row>
    <row r="47" spans="1:31" ht="14.45" x14ac:dyDescent="0.3">
      <c r="B47" s="569" t="str">
        <f>INVOERPAGINA!B41</f>
        <v>Graskuil hooi</v>
      </c>
      <c r="C47" s="570"/>
      <c r="D47" s="571"/>
      <c r="E47" s="337">
        <f>INVOERPAGINA!$E41/100*(INVOERPAGINA!$C$17*365*INVOERPAGINA!$E$37)*(1-(INVOERPAGINA!$F$29*30.5)/365)+IF(INVOERPAGINA!$B$29=LIJSTJES!$B$5,0,(INVOERPAGINA!$F$29*30.5*INVOERPAGINA!$C$17*INVOERPAGINA!$E32))</f>
        <v>206170</v>
      </c>
      <c r="F47" s="351" t="s">
        <v>148</v>
      </c>
      <c r="G47" s="347">
        <f>INVOERPAGINA!G41</f>
        <v>410</v>
      </c>
      <c r="H47" s="347">
        <f>INVOERPAGINA!H41</f>
        <v>875</v>
      </c>
      <c r="I47" s="347">
        <f>INVOERPAGINA!I41</f>
        <v>4.2</v>
      </c>
      <c r="J47" s="347">
        <f>INVOERPAGINA!J41</f>
        <v>175</v>
      </c>
      <c r="N47" s="356" t="s">
        <v>164</v>
      </c>
      <c r="O47" s="291">
        <f>IF(E47&gt;0,IF(F47=LIJSTJES!G$3,ACHTER_INVOER!E47,IF(ACHTER_INVOER!F47=LIJSTJES!G$2,ACHTER_INVOER!E47*ACHTER_INVOER!G47/1000,ACHTER_INVOER!E47*0)),0)</f>
        <v>206170</v>
      </c>
      <c r="P47" s="291">
        <f>IF(G47&gt;0,IF(F47=LIJSTJES!G$3,E47/G47*1000,E47),0)</f>
        <v>502853.6585365854</v>
      </c>
      <c r="Q47" s="291"/>
      <c r="R47" s="291"/>
      <c r="S47" s="291">
        <f>IF(F47=LIJSTJES!G$3,ACHTER_INVOER!E47*ACHTER_INVOER!H47,IF(ACHTER_INVOER!F47=LIJSTJES!G$2,ACHTER_INVOER!E47*ACHTER_INVOER!G47/1000*ACHTER_INVOER!H47,ACHTER_INVOER!E47*0))</f>
        <v>180398750</v>
      </c>
      <c r="T47" s="291">
        <f>IF($F47=LIJSTJES!$G$3,ACHTER_INVOER!$E47*ACHTER_INVOER!I47,IF(ACHTER_INVOER!$F47=LIJSTJES!$G$2,ACHTER_INVOER!$E47*ACHTER_INVOER!$G47/1000*ACHTER_INVOER!I47,ACHTER_INVOER!F47*0))</f>
        <v>865914</v>
      </c>
      <c r="U47" s="291">
        <f>IF($F47=LIJSTJES!$G$3,ACHTER_INVOER!$E47*ACHTER_INVOER!J47,IF(ACHTER_INVOER!$F47=LIJSTJES!$G$2,ACHTER_INVOER!$E47*ACHTER_INVOER!$G47/1000*ACHTER_INVOER!J47,ACHTER_INVOER!G47*0))</f>
        <v>36079750</v>
      </c>
      <c r="V47" s="291">
        <f>IF(N47=LIJSTJES!$G$7,O47,0)</f>
        <v>206170</v>
      </c>
      <c r="W47" s="291">
        <f t="shared" ref="W47:W53" si="14">H47*V47</f>
        <v>180398750</v>
      </c>
      <c r="X47" s="291">
        <f t="shared" ref="X47:X53" si="15">I47*V47</f>
        <v>865914</v>
      </c>
      <c r="Y47" s="291">
        <f t="shared" ref="Y47:Y53" si="16">J47*V47</f>
        <v>36079750</v>
      </c>
      <c r="Z47" s="291"/>
    </row>
    <row r="48" spans="1:31" ht="14.45" x14ac:dyDescent="0.3">
      <c r="B48" s="569"/>
      <c r="C48" s="570"/>
      <c r="D48" s="571"/>
      <c r="E48" s="337"/>
      <c r="F48" s="351" t="s">
        <v>148</v>
      </c>
      <c r="G48" s="347"/>
      <c r="H48" s="348"/>
      <c r="I48" s="349"/>
      <c r="J48" s="384"/>
      <c r="N48" s="356" t="s">
        <v>164</v>
      </c>
      <c r="O48" s="291">
        <f>IF(E48&gt;0,IF(F48=LIJSTJES!G$3,ACHTER_INVOER!E48,IF(ACHTER_INVOER!F48=LIJSTJES!G$2,ACHTER_INVOER!E48*ACHTER_INVOER!G48/1000,ACHTER_INVOER!E48*0)),0)</f>
        <v>0</v>
      </c>
      <c r="P48" s="291">
        <f>IF(G48&gt;0,IF(F48=LIJSTJES!G$3,E48/G48*1000,E48),0)</f>
        <v>0</v>
      </c>
      <c r="Q48" s="291"/>
      <c r="R48" s="291"/>
      <c r="S48" s="291">
        <f>IF(F48=LIJSTJES!G$3,ACHTER_INVOER!E48*ACHTER_INVOER!H48,IF(ACHTER_INVOER!F48=LIJSTJES!G$2,ACHTER_INVOER!E48*ACHTER_INVOER!G48/1000*ACHTER_INVOER!H48,ACHTER_INVOER!E48*0))</f>
        <v>0</v>
      </c>
      <c r="T48" s="291">
        <f>IF($F48=LIJSTJES!$G$3,ACHTER_INVOER!$E48*ACHTER_INVOER!I48,IF(ACHTER_INVOER!$F48=LIJSTJES!$G$2,ACHTER_INVOER!$E48*ACHTER_INVOER!$G48/1000*ACHTER_INVOER!I48,ACHTER_INVOER!F48*0))</f>
        <v>0</v>
      </c>
      <c r="U48" s="291">
        <f>IF($F48=LIJSTJES!$G$3,ACHTER_INVOER!$E48*ACHTER_INVOER!J48,IF(ACHTER_INVOER!$F48=LIJSTJES!$G$2,ACHTER_INVOER!$E48*ACHTER_INVOER!$G48/1000*ACHTER_INVOER!J48,ACHTER_INVOER!G48*0))</f>
        <v>0</v>
      </c>
      <c r="V48" s="291">
        <f>IF(N48=LIJSTJES!$G$7,O48,0)</f>
        <v>0</v>
      </c>
      <c r="W48" s="291">
        <f t="shared" si="14"/>
        <v>0</v>
      </c>
      <c r="X48" s="291">
        <f t="shared" si="15"/>
        <v>0</v>
      </c>
      <c r="Y48" s="291">
        <f t="shared" si="16"/>
        <v>0</v>
      </c>
      <c r="Z48" s="291"/>
    </row>
    <row r="49" spans="1:29" ht="14.45" x14ac:dyDescent="0.3">
      <c r="B49" s="569"/>
      <c r="C49" s="570"/>
      <c r="D49" s="571"/>
      <c r="E49" s="337"/>
      <c r="F49" s="351" t="s">
        <v>148</v>
      </c>
      <c r="G49" s="347"/>
      <c r="H49" s="348"/>
      <c r="I49" s="349"/>
      <c r="J49" s="370"/>
      <c r="N49" s="356" t="s">
        <v>164</v>
      </c>
      <c r="O49" s="291">
        <f>IF(E49&gt;0,IF(F49=LIJSTJES!G$3,ACHTER_INVOER!E49,IF(ACHTER_INVOER!F49=LIJSTJES!G$2,ACHTER_INVOER!E49*ACHTER_INVOER!G49/1000,ACHTER_INVOER!E49*0)),0)</f>
        <v>0</v>
      </c>
      <c r="P49" s="291">
        <f>IF(G49&gt;0,IF(F49=LIJSTJES!G$3,E49/G49*1000,E49),0)</f>
        <v>0</v>
      </c>
      <c r="Q49" s="291"/>
      <c r="R49" s="291"/>
      <c r="S49" s="291">
        <f>IF(F49=LIJSTJES!G$3,ACHTER_INVOER!E49*ACHTER_INVOER!H49,IF(ACHTER_INVOER!F49=LIJSTJES!G$2,ACHTER_INVOER!E49*ACHTER_INVOER!G49/1000*ACHTER_INVOER!H49,ACHTER_INVOER!E49*0))</f>
        <v>0</v>
      </c>
      <c r="T49" s="291">
        <f>IF($F49=LIJSTJES!$G$3,ACHTER_INVOER!$E49*ACHTER_INVOER!I49,IF(ACHTER_INVOER!$F49=LIJSTJES!$G$2,ACHTER_INVOER!$E49*ACHTER_INVOER!$G49/1000*ACHTER_INVOER!I49,ACHTER_INVOER!F49*0))</f>
        <v>0</v>
      </c>
      <c r="U49" s="291">
        <f>IF($F49=LIJSTJES!$G$3,ACHTER_INVOER!$E49*ACHTER_INVOER!J49,IF(ACHTER_INVOER!$F49=LIJSTJES!$G$2,ACHTER_INVOER!$E49*ACHTER_INVOER!$G49/1000*ACHTER_INVOER!J49,ACHTER_INVOER!G49*0))</f>
        <v>0</v>
      </c>
      <c r="V49" s="291">
        <f>IF(N49=LIJSTJES!$G$7,O49,0)</f>
        <v>0</v>
      </c>
      <c r="W49" s="291">
        <f t="shared" si="14"/>
        <v>0</v>
      </c>
      <c r="X49" s="291">
        <f t="shared" si="15"/>
        <v>0</v>
      </c>
      <c r="Y49" s="291">
        <f t="shared" si="16"/>
        <v>0</v>
      </c>
      <c r="Z49" s="291"/>
    </row>
    <row r="50" spans="1:29" ht="14.45" x14ac:dyDescent="0.3">
      <c r="A50" s="298"/>
      <c r="B50" s="338"/>
      <c r="C50" s="339"/>
      <c r="D50" s="340"/>
      <c r="E50" s="337"/>
      <c r="F50" s="351" t="s">
        <v>148</v>
      </c>
      <c r="G50" s="347"/>
      <c r="H50" s="348"/>
      <c r="I50" s="349"/>
      <c r="J50" s="370"/>
      <c r="N50" s="356" t="s">
        <v>164</v>
      </c>
      <c r="O50" s="291">
        <f>IF(E50&gt;0,IF(F50=LIJSTJES!G$3,ACHTER_INVOER!E50,IF(ACHTER_INVOER!F50=LIJSTJES!G$2,ACHTER_INVOER!E50*ACHTER_INVOER!G50/1000,ACHTER_INVOER!E50*0)),0)</f>
        <v>0</v>
      </c>
      <c r="P50" s="291">
        <f>IF(G50&gt;0,IF(F50=LIJSTJES!G$3,E50/G50*1000,E50),0)</f>
        <v>0</v>
      </c>
      <c r="Q50" s="291"/>
      <c r="R50" s="291"/>
      <c r="S50" s="291">
        <f>IF(F50=LIJSTJES!G$3,ACHTER_INVOER!E50*ACHTER_INVOER!H50,IF(ACHTER_INVOER!F50=LIJSTJES!G$2,ACHTER_INVOER!E50*ACHTER_INVOER!G50/1000*ACHTER_INVOER!H50,ACHTER_INVOER!E50*0))</f>
        <v>0</v>
      </c>
      <c r="T50" s="291">
        <f>IF($F50=LIJSTJES!$G$3,ACHTER_INVOER!$E50*ACHTER_INVOER!I50,IF(ACHTER_INVOER!$F50=LIJSTJES!$G$2,ACHTER_INVOER!$E50*ACHTER_INVOER!$G50/1000*ACHTER_INVOER!I50,ACHTER_INVOER!F50*0))</f>
        <v>0</v>
      </c>
      <c r="U50" s="291">
        <f>IF($F50=LIJSTJES!$G$3,ACHTER_INVOER!$E50*ACHTER_INVOER!J50,IF(ACHTER_INVOER!$F50=LIJSTJES!$G$2,ACHTER_INVOER!$E50*ACHTER_INVOER!$G50/1000*ACHTER_INVOER!J50,ACHTER_INVOER!G50*0))</f>
        <v>0</v>
      </c>
      <c r="V50" s="291">
        <f>IF(N50=LIJSTJES!$G$7,O50,0)</f>
        <v>0</v>
      </c>
      <c r="W50" s="291">
        <f t="shared" si="14"/>
        <v>0</v>
      </c>
      <c r="X50" s="291">
        <f t="shared" si="15"/>
        <v>0</v>
      </c>
      <c r="Y50" s="291">
        <f t="shared" si="16"/>
        <v>0</v>
      </c>
    </row>
    <row r="51" spans="1:29" ht="14.45" x14ac:dyDescent="0.3">
      <c r="A51" s="298"/>
      <c r="B51" s="338"/>
      <c r="C51" s="339"/>
      <c r="D51" s="340"/>
      <c r="E51" s="337"/>
      <c r="F51" s="351" t="s">
        <v>148</v>
      </c>
      <c r="G51" s="347"/>
      <c r="H51" s="347"/>
      <c r="I51" s="347"/>
      <c r="J51" s="371"/>
      <c r="N51" s="356" t="s">
        <v>164</v>
      </c>
      <c r="O51" s="291">
        <f>IF(E51&gt;0,IF(F51=LIJSTJES!G$3,ACHTER_INVOER!E51,IF(ACHTER_INVOER!F51=LIJSTJES!G$2,ACHTER_INVOER!E51*ACHTER_INVOER!G51/1000,ACHTER_INVOER!E51*0)),0)</f>
        <v>0</v>
      </c>
      <c r="P51" s="291">
        <f>IF(G51&gt;0,IF(F51=LIJSTJES!G$3,E51/G51*1000,E51),0)</f>
        <v>0</v>
      </c>
      <c r="Q51" s="291"/>
      <c r="R51" s="291"/>
      <c r="S51" s="291">
        <f>IF(F51=LIJSTJES!G$3,ACHTER_INVOER!E51*ACHTER_INVOER!H51,IF(ACHTER_INVOER!F51=LIJSTJES!G$2,ACHTER_INVOER!E51*ACHTER_INVOER!G51/1000*ACHTER_INVOER!H51,ACHTER_INVOER!E51*0))</f>
        <v>0</v>
      </c>
      <c r="T51" s="291">
        <f>IF($F51=LIJSTJES!$G$3,ACHTER_INVOER!$E51*ACHTER_INVOER!I51,IF(ACHTER_INVOER!$F51=LIJSTJES!$G$2,ACHTER_INVOER!$E51*ACHTER_INVOER!$G51/1000*ACHTER_INVOER!I51,ACHTER_INVOER!F51*0))</f>
        <v>0</v>
      </c>
      <c r="U51" s="291">
        <f>IF($F51=LIJSTJES!$G$3,ACHTER_INVOER!$E51*ACHTER_INVOER!J51,IF(ACHTER_INVOER!$F51=LIJSTJES!$G$2,ACHTER_INVOER!$E51*ACHTER_INVOER!$G51/1000*ACHTER_INVOER!J51,ACHTER_INVOER!G51*0))</f>
        <v>0</v>
      </c>
      <c r="V51" s="291">
        <f>IF(N51=LIJSTJES!$G$7,O51,0)</f>
        <v>0</v>
      </c>
      <c r="W51" s="291">
        <f t="shared" si="14"/>
        <v>0</v>
      </c>
      <c r="X51" s="291">
        <f t="shared" si="15"/>
        <v>0</v>
      </c>
      <c r="Y51" s="291">
        <f t="shared" si="16"/>
        <v>0</v>
      </c>
    </row>
    <row r="52" spans="1:29" ht="14.45" x14ac:dyDescent="0.3">
      <c r="A52" s="298"/>
      <c r="B52" s="338"/>
      <c r="C52" s="339"/>
      <c r="D52" s="340"/>
      <c r="E52" s="337"/>
      <c r="F52" s="351" t="s">
        <v>148</v>
      </c>
      <c r="G52" s="347"/>
      <c r="H52" s="347"/>
      <c r="I52" s="347"/>
      <c r="J52" s="371"/>
      <c r="N52" s="356" t="s">
        <v>164</v>
      </c>
      <c r="O52" s="291">
        <f>IF(E52&gt;0,IF(F52=LIJSTJES!G$3,ACHTER_INVOER!E52,IF(ACHTER_INVOER!F52=LIJSTJES!G$2,ACHTER_INVOER!E52*ACHTER_INVOER!G52/1000,ACHTER_INVOER!E52*0)),0)</f>
        <v>0</v>
      </c>
      <c r="P52" s="291">
        <f>IF(G52&gt;0,IF(F52=LIJSTJES!G$3,E52/G52*1000,E52),0)</f>
        <v>0</v>
      </c>
      <c r="Q52" s="291"/>
      <c r="R52" s="291"/>
      <c r="S52" s="291">
        <f>IF(F52=LIJSTJES!G$3,ACHTER_INVOER!E52*ACHTER_INVOER!H52,IF(ACHTER_INVOER!F52=LIJSTJES!G$2,ACHTER_INVOER!E52*ACHTER_INVOER!G52/1000*ACHTER_INVOER!H52,ACHTER_INVOER!E52*0))</f>
        <v>0</v>
      </c>
      <c r="T52" s="291">
        <f>IF($F52=LIJSTJES!$G$3,ACHTER_INVOER!$E52*ACHTER_INVOER!I52,IF(ACHTER_INVOER!$F52=LIJSTJES!$G$2,ACHTER_INVOER!$E52*ACHTER_INVOER!$G52/1000*ACHTER_INVOER!I52,ACHTER_INVOER!F52*0))</f>
        <v>0</v>
      </c>
      <c r="U52" s="291">
        <f>IF($F52=LIJSTJES!$G$3,ACHTER_INVOER!$E52*ACHTER_INVOER!J52,IF(ACHTER_INVOER!$F52=LIJSTJES!$G$2,ACHTER_INVOER!$E52*ACHTER_INVOER!$G52/1000*ACHTER_INVOER!J52,ACHTER_INVOER!G52*0))</f>
        <v>0</v>
      </c>
      <c r="V52" s="291">
        <f>IF(N52=LIJSTJES!$G$7,O52,0)</f>
        <v>0</v>
      </c>
      <c r="W52" s="291">
        <f t="shared" si="14"/>
        <v>0</v>
      </c>
      <c r="X52" s="291">
        <f t="shared" si="15"/>
        <v>0</v>
      </c>
      <c r="Y52" s="291">
        <f t="shared" si="16"/>
        <v>0</v>
      </c>
    </row>
    <row r="53" spans="1:29" ht="14.45" x14ac:dyDescent="0.3">
      <c r="A53" s="298"/>
      <c r="B53" s="338"/>
      <c r="C53" s="339"/>
      <c r="D53" s="340"/>
      <c r="E53" s="337"/>
      <c r="F53" s="351" t="s">
        <v>148</v>
      </c>
      <c r="G53" s="347"/>
      <c r="H53" s="347"/>
      <c r="I53" s="347"/>
      <c r="J53" s="371"/>
      <c r="N53" s="356" t="s">
        <v>164</v>
      </c>
      <c r="O53" s="291">
        <f>IF(E53&gt;0,IF(F53=LIJSTJES!G$3,ACHTER_INVOER!E53,IF(ACHTER_INVOER!F53=LIJSTJES!G$2,ACHTER_INVOER!E53*ACHTER_INVOER!G53/1000,ACHTER_INVOER!E53*0)),0)</f>
        <v>0</v>
      </c>
      <c r="P53" s="291">
        <f>IF(G53&gt;0,IF(F53=LIJSTJES!G$3,E53/G53*1000,E53),0)</f>
        <v>0</v>
      </c>
      <c r="Q53" s="291"/>
      <c r="R53" s="291"/>
      <c r="S53" s="291">
        <f>IF(F53=LIJSTJES!G$3,ACHTER_INVOER!E53*ACHTER_INVOER!H53,IF(ACHTER_INVOER!F53=LIJSTJES!G$2,ACHTER_INVOER!E53*ACHTER_INVOER!G53/1000*ACHTER_INVOER!H53,ACHTER_INVOER!E53*0))</f>
        <v>0</v>
      </c>
      <c r="T53" s="291">
        <f>IF($F53=LIJSTJES!$G$3,ACHTER_INVOER!$E53*ACHTER_INVOER!I53,IF(ACHTER_INVOER!$F53=LIJSTJES!$G$2,ACHTER_INVOER!$E53*ACHTER_INVOER!$G53/1000*ACHTER_INVOER!I53,ACHTER_INVOER!F53*0))</f>
        <v>0</v>
      </c>
      <c r="U53" s="291">
        <f>IF($F53=LIJSTJES!$G$3,ACHTER_INVOER!$E53*ACHTER_INVOER!J53,IF(ACHTER_INVOER!$F53=LIJSTJES!$G$2,ACHTER_INVOER!$E53*ACHTER_INVOER!$G53/1000*ACHTER_INVOER!J53,ACHTER_INVOER!G53*0))</f>
        <v>0</v>
      </c>
      <c r="V53" s="291">
        <f>IF(N53=LIJSTJES!$G$7,O53,0)</f>
        <v>0</v>
      </c>
      <c r="W53" s="291">
        <f t="shared" si="14"/>
        <v>0</v>
      </c>
      <c r="X53" s="291">
        <f t="shared" si="15"/>
        <v>0</v>
      </c>
      <c r="Y53" s="291">
        <f t="shared" si="16"/>
        <v>0</v>
      </c>
    </row>
    <row r="54" spans="1:29" ht="13.9" x14ac:dyDescent="0.3">
      <c r="H54" s="301" t="s">
        <v>187</v>
      </c>
      <c r="O54" s="314">
        <f>SUM(O47:O53)</f>
        <v>206170</v>
      </c>
      <c r="P54" s="314">
        <f>SUM(P47:P53)</f>
        <v>502853.6585365854</v>
      </c>
      <c r="Q54" s="314">
        <f t="shared" ref="Q54:AB54" si="17">SUM(Q47:Q53)</f>
        <v>0</v>
      </c>
      <c r="R54" s="314">
        <f t="shared" si="17"/>
        <v>0</v>
      </c>
      <c r="S54" s="314">
        <f t="shared" ref="S54:Y54" si="18">SUM(S47:S53)</f>
        <v>180398750</v>
      </c>
      <c r="T54" s="314">
        <f t="shared" si="18"/>
        <v>865914</v>
      </c>
      <c r="U54" s="314">
        <f t="shared" si="18"/>
        <v>36079750</v>
      </c>
      <c r="V54" s="314">
        <f t="shared" si="18"/>
        <v>206170</v>
      </c>
      <c r="W54" s="314">
        <f t="shared" si="18"/>
        <v>180398750</v>
      </c>
      <c r="X54" s="314">
        <f t="shared" si="18"/>
        <v>865914</v>
      </c>
      <c r="Y54" s="314">
        <f t="shared" si="18"/>
        <v>36079750</v>
      </c>
      <c r="Z54" s="314">
        <f>IF(O54&gt;0,S54/O54,0)*1</f>
        <v>875</v>
      </c>
      <c r="AA54" s="314">
        <f t="shared" si="17"/>
        <v>0</v>
      </c>
      <c r="AB54" s="314">
        <f t="shared" si="17"/>
        <v>0</v>
      </c>
      <c r="AC54" s="316"/>
    </row>
    <row r="55" spans="1:29" ht="13.9" x14ac:dyDescent="0.3">
      <c r="A55" s="300" t="s">
        <v>190</v>
      </c>
      <c r="C55" s="287"/>
      <c r="D55" s="317"/>
      <c r="E55" s="303" t="s">
        <v>167</v>
      </c>
      <c r="F55" s="295" t="s">
        <v>147</v>
      </c>
      <c r="G55" s="318" t="s">
        <v>150</v>
      </c>
      <c r="H55" s="319" t="s">
        <v>2</v>
      </c>
      <c r="I55" s="319" t="s">
        <v>3</v>
      </c>
      <c r="J55" s="295" t="s">
        <v>90</v>
      </c>
      <c r="O55" s="320"/>
      <c r="S55" s="306" t="s">
        <v>2</v>
      </c>
      <c r="T55" s="306" t="s">
        <v>3</v>
      </c>
      <c r="U55" s="306" t="s">
        <v>90</v>
      </c>
      <c r="V55" s="306" t="s">
        <v>169</v>
      </c>
      <c r="W55" s="286" t="s">
        <v>172</v>
      </c>
      <c r="X55" s="286" t="s">
        <v>173</v>
      </c>
      <c r="Y55" s="286" t="s">
        <v>174</v>
      </c>
    </row>
    <row r="56" spans="1:29" ht="14.45" x14ac:dyDescent="0.3">
      <c r="A56" s="300"/>
      <c r="B56" s="572" t="str">
        <f>INVOERPAGINA!B42</f>
        <v>Snijmaiskuil, Graan-GPS</v>
      </c>
      <c r="C56" s="573"/>
      <c r="D56" s="574"/>
      <c r="E56" s="361">
        <f>INVOERPAGINA!$E$42/100*(INVOERPAGINA!$C$17*365*INVOERPAGINA!$E$37)*(1-(INVOERPAGINA!$F$29*30.5)/365)+IF(INVOERPAGINA!$B$29=LIJSTJES!$B$5,0,(INVOERPAGINA!$F$29*30.5*INVOERPAGINA!$C$17*INVOERPAGINA!$E$33))</f>
        <v>267317.5</v>
      </c>
      <c r="F56" s="351" t="s">
        <v>148</v>
      </c>
      <c r="G56" s="362">
        <f>INVOERPAGINA!G42</f>
        <v>332</v>
      </c>
      <c r="H56" s="362">
        <f>INVOERPAGINA!H42</f>
        <v>925</v>
      </c>
      <c r="I56" s="362">
        <f>INVOERPAGINA!I42</f>
        <v>2</v>
      </c>
      <c r="J56" s="362">
        <f>INVOERPAGINA!J42</f>
        <v>78.125</v>
      </c>
      <c r="N56" s="356" t="s">
        <v>164</v>
      </c>
      <c r="O56" s="291">
        <f>IF(E56&gt;0,IF(F56=LIJSTJES!G$3,ACHTER_INVOER!E56,IF(ACHTER_INVOER!F56=LIJSTJES!G$2,ACHTER_INVOER!E56*ACHTER_INVOER!G56/1000,ACHTER_INVOER!E56*0)),0)</f>
        <v>267317.5</v>
      </c>
      <c r="P56" s="291">
        <f>IF(G56&gt;0,IF(F56=LIJSTJES!G$3,E56/G56*1000,E56),0)</f>
        <v>805173.19277108437</v>
      </c>
      <c r="Q56" s="291"/>
      <c r="R56" s="291"/>
      <c r="S56" s="291">
        <f>IF(F56=LIJSTJES!G$3,ACHTER_INVOER!E56*ACHTER_INVOER!H56,IF(ACHTER_INVOER!F56=LIJSTJES!G$2,ACHTER_INVOER!E56*ACHTER_INVOER!G56/1000*ACHTER_INVOER!H56,ACHTER_INVOER!E56*0))</f>
        <v>247268687.5</v>
      </c>
      <c r="T56" s="291">
        <f>IF($F56=LIJSTJES!$G$3,ACHTER_INVOER!$E56*ACHTER_INVOER!I56,IF(ACHTER_INVOER!$F56=LIJSTJES!$G$2,ACHTER_INVOER!$E56*ACHTER_INVOER!$G56/1000*ACHTER_INVOER!I56,ACHTER_INVOER!F56*0))</f>
        <v>534635</v>
      </c>
      <c r="U56" s="291">
        <f>IF($F56=LIJSTJES!$G$3,ACHTER_INVOER!$E56*ACHTER_INVOER!J56,IF(ACHTER_INVOER!$F56=LIJSTJES!$G$2,ACHTER_INVOER!$E56*ACHTER_INVOER!$G56/1000*ACHTER_INVOER!J56,ACHTER_INVOER!G56*0))</f>
        <v>20884179.6875</v>
      </c>
      <c r="V56" s="291">
        <f>IF(N56=LIJSTJES!$G$7,O56,0)</f>
        <v>267317.5</v>
      </c>
      <c r="W56" s="291">
        <f t="shared" ref="W56:W62" si="19">H56*V56</f>
        <v>247268687.5</v>
      </c>
      <c r="X56" s="291">
        <f t="shared" ref="X56:X62" si="20">I56*V56</f>
        <v>534635</v>
      </c>
      <c r="Y56" s="291">
        <f t="shared" ref="Y56:Y62" si="21">J56*V56</f>
        <v>20884179.6875</v>
      </c>
      <c r="Z56" s="291"/>
    </row>
    <row r="57" spans="1:29" ht="14.45" x14ac:dyDescent="0.3">
      <c r="A57" s="300">
        <v>125000</v>
      </c>
      <c r="B57" s="572"/>
      <c r="C57" s="573"/>
      <c r="D57" s="574"/>
      <c r="E57" s="361"/>
      <c r="F57" s="351" t="s">
        <v>148</v>
      </c>
      <c r="G57" s="362"/>
      <c r="H57" s="363"/>
      <c r="I57" s="364"/>
      <c r="J57" s="365"/>
      <c r="N57" s="356" t="s">
        <v>164</v>
      </c>
      <c r="O57" s="291">
        <f>IF(E57&gt;0,IF(F57=LIJSTJES!G$3,ACHTER_INVOER!E57,IF(ACHTER_INVOER!F57=LIJSTJES!G$2,ACHTER_INVOER!E57*ACHTER_INVOER!G57/1000,ACHTER_INVOER!E57*0)),0)</f>
        <v>0</v>
      </c>
      <c r="P57" s="291">
        <f>IF(G57&gt;0,IF(F57=LIJSTJES!G$3,E57/G57*1000,E57),0)</f>
        <v>0</v>
      </c>
      <c r="Q57" s="291"/>
      <c r="R57" s="291"/>
      <c r="S57" s="291">
        <f>IF(F57=LIJSTJES!G$3,ACHTER_INVOER!E57*ACHTER_INVOER!H57,IF(ACHTER_INVOER!F57=LIJSTJES!G$2,ACHTER_INVOER!E57*ACHTER_INVOER!G57/1000*ACHTER_INVOER!H57,ACHTER_INVOER!E57*0))</f>
        <v>0</v>
      </c>
      <c r="T57" s="291">
        <f>IF($F57=LIJSTJES!$G$3,ACHTER_INVOER!$E57*ACHTER_INVOER!I57,IF(ACHTER_INVOER!$F57=LIJSTJES!$G$2,ACHTER_INVOER!$E57*ACHTER_INVOER!$G57/1000*ACHTER_INVOER!I57,ACHTER_INVOER!F57*0))</f>
        <v>0</v>
      </c>
      <c r="U57" s="291">
        <f>IF($F57=LIJSTJES!$G$3,ACHTER_INVOER!$E57*ACHTER_INVOER!J57,IF(ACHTER_INVOER!$F57=LIJSTJES!$G$2,ACHTER_INVOER!$E57*ACHTER_INVOER!$G57/1000*ACHTER_INVOER!J57,ACHTER_INVOER!G57*0))</f>
        <v>0</v>
      </c>
      <c r="V57" s="291">
        <f>IF(N57=LIJSTJES!$G$7,O57,0)</f>
        <v>0</v>
      </c>
      <c r="W57" s="291">
        <f t="shared" si="19"/>
        <v>0</v>
      </c>
      <c r="X57" s="291">
        <f t="shared" si="20"/>
        <v>0</v>
      </c>
      <c r="Y57" s="291">
        <f t="shared" si="21"/>
        <v>0</v>
      </c>
      <c r="Z57" s="291"/>
    </row>
    <row r="58" spans="1:29" ht="14.45" x14ac:dyDescent="0.3">
      <c r="A58" s="300"/>
      <c r="B58" s="572"/>
      <c r="C58" s="573"/>
      <c r="D58" s="574"/>
      <c r="E58" s="361"/>
      <c r="F58" s="351" t="s">
        <v>148</v>
      </c>
      <c r="G58" s="362"/>
      <c r="H58" s="363"/>
      <c r="I58" s="364"/>
      <c r="J58" s="365"/>
      <c r="N58" s="356" t="s">
        <v>164</v>
      </c>
      <c r="O58" s="291">
        <f>IF(E58&gt;0,IF(F58=LIJSTJES!G$3,ACHTER_INVOER!E58,IF(ACHTER_INVOER!F58=LIJSTJES!G$2,ACHTER_INVOER!E58*ACHTER_INVOER!G58/1000,ACHTER_INVOER!E58*0)),0)</f>
        <v>0</v>
      </c>
      <c r="P58" s="291">
        <f>IF(G58&gt;0,IF(F58=LIJSTJES!G$3,E58/G58*1000,E58),0)</f>
        <v>0</v>
      </c>
      <c r="Q58" s="291"/>
      <c r="R58" s="291"/>
      <c r="S58" s="291">
        <f>IF(F58=LIJSTJES!G$3,ACHTER_INVOER!E58*ACHTER_INVOER!H58,IF(ACHTER_INVOER!F58=LIJSTJES!G$2,ACHTER_INVOER!E58*ACHTER_INVOER!G58/1000*ACHTER_INVOER!H58,ACHTER_INVOER!E58*0))</f>
        <v>0</v>
      </c>
      <c r="T58" s="291">
        <f>IF($F58=LIJSTJES!$G$3,ACHTER_INVOER!$E58*ACHTER_INVOER!I58,IF(ACHTER_INVOER!$F58=LIJSTJES!$G$2,ACHTER_INVOER!$E58*ACHTER_INVOER!$G58/1000*ACHTER_INVOER!I58,ACHTER_INVOER!F58*0))</f>
        <v>0</v>
      </c>
      <c r="U58" s="291">
        <f>IF($F58=LIJSTJES!$G$3,ACHTER_INVOER!$E58*ACHTER_INVOER!J58,IF(ACHTER_INVOER!$F58=LIJSTJES!$G$2,ACHTER_INVOER!$E58*ACHTER_INVOER!$G58/1000*ACHTER_INVOER!J58,ACHTER_INVOER!G58*0))</f>
        <v>0</v>
      </c>
      <c r="V58" s="291">
        <f>IF(N58=LIJSTJES!$G$7,O58,0)</f>
        <v>0</v>
      </c>
      <c r="W58" s="291">
        <f t="shared" si="19"/>
        <v>0</v>
      </c>
      <c r="X58" s="291">
        <f t="shared" si="20"/>
        <v>0</v>
      </c>
      <c r="Y58" s="291">
        <f t="shared" si="21"/>
        <v>0</v>
      </c>
      <c r="Z58" s="291"/>
    </row>
    <row r="59" spans="1:29" ht="15" x14ac:dyDescent="0.25">
      <c r="A59" s="300"/>
      <c r="B59" s="366"/>
      <c r="C59" s="367"/>
      <c r="D59" s="368"/>
      <c r="E59" s="361"/>
      <c r="F59" s="351" t="s">
        <v>148</v>
      </c>
      <c r="G59" s="362"/>
      <c r="H59" s="363"/>
      <c r="I59" s="364"/>
      <c r="J59" s="365"/>
      <c r="N59" s="356" t="s">
        <v>164</v>
      </c>
      <c r="O59" s="291">
        <f>IF(E59&gt;0,IF(F59=LIJSTJES!G$3,ACHTER_INVOER!E59,IF(ACHTER_INVOER!F59=LIJSTJES!G$2,ACHTER_INVOER!E59*ACHTER_INVOER!G59/1000,ACHTER_INVOER!E59*0)),0)</f>
        <v>0</v>
      </c>
      <c r="P59" s="291">
        <f>IF(G59&gt;0,IF(F59=LIJSTJES!G$3,E59/G59*1000,E59),0)</f>
        <v>0</v>
      </c>
      <c r="Q59" s="291"/>
      <c r="R59" s="291"/>
      <c r="S59" s="291">
        <f>IF(F59=LIJSTJES!G$3,ACHTER_INVOER!E59*ACHTER_INVOER!H59,IF(ACHTER_INVOER!F59=LIJSTJES!G$2,ACHTER_INVOER!E59*ACHTER_INVOER!G59/1000*ACHTER_INVOER!H59,ACHTER_INVOER!E59*0))</f>
        <v>0</v>
      </c>
      <c r="T59" s="291">
        <f>IF($F59=LIJSTJES!$G$3,ACHTER_INVOER!$E59*ACHTER_INVOER!I59,IF(ACHTER_INVOER!$F59=LIJSTJES!$G$2,ACHTER_INVOER!$E59*ACHTER_INVOER!$G59/1000*ACHTER_INVOER!I59,ACHTER_INVOER!F59*0))</f>
        <v>0</v>
      </c>
      <c r="U59" s="291">
        <f>IF($F59=LIJSTJES!$G$3,ACHTER_INVOER!$E59*ACHTER_INVOER!J59,IF(ACHTER_INVOER!$F59=LIJSTJES!$G$2,ACHTER_INVOER!$E59*ACHTER_INVOER!$G59/1000*ACHTER_INVOER!J59,ACHTER_INVOER!G59*0))</f>
        <v>0</v>
      </c>
      <c r="V59" s="291">
        <f>IF(N59=LIJSTJES!$G$7,O59,0)</f>
        <v>0</v>
      </c>
      <c r="W59" s="291">
        <f t="shared" si="19"/>
        <v>0</v>
      </c>
      <c r="X59" s="291">
        <f t="shared" si="20"/>
        <v>0</v>
      </c>
      <c r="Y59" s="291">
        <f t="shared" si="21"/>
        <v>0</v>
      </c>
      <c r="Z59" s="291"/>
    </row>
    <row r="60" spans="1:29" ht="15" x14ac:dyDescent="0.25">
      <c r="A60" s="300"/>
      <c r="B60" s="366"/>
      <c r="C60" s="367"/>
      <c r="D60" s="368"/>
      <c r="E60" s="361"/>
      <c r="F60" s="351" t="s">
        <v>148</v>
      </c>
      <c r="G60" s="362"/>
      <c r="H60" s="363"/>
      <c r="I60" s="364"/>
      <c r="J60" s="365"/>
      <c r="N60" s="356" t="s">
        <v>164</v>
      </c>
      <c r="O60" s="291">
        <f>IF(E60&gt;0,IF(F60=LIJSTJES!G$3,ACHTER_INVOER!E60,IF(ACHTER_INVOER!F60=LIJSTJES!G$2,ACHTER_INVOER!E60*ACHTER_INVOER!G60/1000,ACHTER_INVOER!E60*0)),0)</f>
        <v>0</v>
      </c>
      <c r="P60" s="291">
        <f>IF(G60&gt;0,IF(F60=LIJSTJES!G$3,E60/G60*1000,E60),0)</f>
        <v>0</v>
      </c>
      <c r="Q60" s="291"/>
      <c r="R60" s="291"/>
      <c r="S60" s="291">
        <f>IF(F60=LIJSTJES!G$3,ACHTER_INVOER!E60*ACHTER_INVOER!H60,IF(ACHTER_INVOER!F60=LIJSTJES!G$2,ACHTER_INVOER!E60*ACHTER_INVOER!G60/1000*ACHTER_INVOER!H60,ACHTER_INVOER!E60*0))</f>
        <v>0</v>
      </c>
      <c r="T60" s="291">
        <f>IF($F60=LIJSTJES!$G$3,ACHTER_INVOER!$E60*ACHTER_INVOER!I60,IF(ACHTER_INVOER!$F60=LIJSTJES!$G$2,ACHTER_INVOER!$E60*ACHTER_INVOER!$G60/1000*ACHTER_INVOER!I60,ACHTER_INVOER!F60*0))</f>
        <v>0</v>
      </c>
      <c r="U60" s="291">
        <f>IF($F60=LIJSTJES!$G$3,ACHTER_INVOER!$E60*ACHTER_INVOER!J60,IF(ACHTER_INVOER!$F60=LIJSTJES!$G$2,ACHTER_INVOER!$E60*ACHTER_INVOER!$G60/1000*ACHTER_INVOER!J60,ACHTER_INVOER!G60*0))</f>
        <v>0</v>
      </c>
      <c r="V60" s="291">
        <f>IF(N60=LIJSTJES!$G$7,O60,0)</f>
        <v>0</v>
      </c>
      <c r="W60" s="291">
        <f t="shared" si="19"/>
        <v>0</v>
      </c>
      <c r="X60" s="291">
        <f t="shared" si="20"/>
        <v>0</v>
      </c>
      <c r="Y60" s="291">
        <f t="shared" si="21"/>
        <v>0</v>
      </c>
      <c r="Z60" s="291"/>
    </row>
    <row r="61" spans="1:29" ht="15" x14ac:dyDescent="0.25">
      <c r="A61" s="300"/>
      <c r="B61" s="572"/>
      <c r="C61" s="573"/>
      <c r="D61" s="574"/>
      <c r="E61" s="361"/>
      <c r="F61" s="351" t="s">
        <v>148</v>
      </c>
      <c r="G61" s="362"/>
      <c r="H61" s="363"/>
      <c r="I61" s="364"/>
      <c r="J61" s="365"/>
      <c r="N61" s="356" t="s">
        <v>164</v>
      </c>
      <c r="O61" s="291">
        <f>IF(E61&gt;0,IF(F61=LIJSTJES!G$3,ACHTER_INVOER!E61,IF(ACHTER_INVOER!F61=LIJSTJES!G$2,ACHTER_INVOER!E61*ACHTER_INVOER!G61/1000,ACHTER_INVOER!E61*0)),0)</f>
        <v>0</v>
      </c>
      <c r="P61" s="291">
        <f>IF(G61&gt;0,IF(F61=LIJSTJES!G$3,E61/G61*1000,E61),0)</f>
        <v>0</v>
      </c>
      <c r="Q61" s="291"/>
      <c r="R61" s="291"/>
      <c r="S61" s="291">
        <f>IF(F61=LIJSTJES!G$3,ACHTER_INVOER!E61*ACHTER_INVOER!H61,IF(ACHTER_INVOER!F61=LIJSTJES!G$2,ACHTER_INVOER!E61*ACHTER_INVOER!G61/1000*ACHTER_INVOER!H61,ACHTER_INVOER!E61*0))</f>
        <v>0</v>
      </c>
      <c r="T61" s="291">
        <f>IF($F61=LIJSTJES!$G$3,ACHTER_INVOER!$E61*ACHTER_INVOER!I61,IF(ACHTER_INVOER!$F61=LIJSTJES!$G$2,ACHTER_INVOER!$E61*ACHTER_INVOER!$G61/1000*ACHTER_INVOER!I61,ACHTER_INVOER!F61*0))</f>
        <v>0</v>
      </c>
      <c r="U61" s="291">
        <f>IF($F61=LIJSTJES!$G$3,ACHTER_INVOER!$E61*ACHTER_INVOER!J61,IF(ACHTER_INVOER!$F61=LIJSTJES!$G$2,ACHTER_INVOER!$E61*ACHTER_INVOER!$G61/1000*ACHTER_INVOER!J61,ACHTER_INVOER!G61*0))</f>
        <v>0</v>
      </c>
      <c r="V61" s="291">
        <f>IF(N61=LIJSTJES!$G$7,O61,0)</f>
        <v>0</v>
      </c>
      <c r="W61" s="291">
        <f t="shared" si="19"/>
        <v>0</v>
      </c>
      <c r="X61" s="291">
        <f t="shared" si="20"/>
        <v>0</v>
      </c>
      <c r="Y61" s="291">
        <f t="shared" si="21"/>
        <v>0</v>
      </c>
    </row>
    <row r="62" spans="1:29" ht="15" x14ac:dyDescent="0.25">
      <c r="A62" s="300"/>
      <c r="B62" s="575"/>
      <c r="C62" s="576"/>
      <c r="D62" s="576"/>
      <c r="E62" s="361"/>
      <c r="F62" s="351" t="s">
        <v>148</v>
      </c>
      <c r="G62" s="362"/>
      <c r="H62" s="362"/>
      <c r="I62" s="362"/>
      <c r="J62" s="369"/>
      <c r="N62" s="356" t="s">
        <v>164</v>
      </c>
      <c r="O62" s="291">
        <f>IF(E62&gt;0,IF(F62=LIJSTJES!G$3,ACHTER_INVOER!E62,IF(ACHTER_INVOER!F62=LIJSTJES!G$2,ACHTER_INVOER!E62*ACHTER_INVOER!G62/1000,ACHTER_INVOER!E62*0)),0)</f>
        <v>0</v>
      </c>
      <c r="P62" s="291">
        <f>IF(G62&gt;0,IF(F62=LIJSTJES!G$3,E62/G62*1000,E62),0)</f>
        <v>0</v>
      </c>
      <c r="Q62" s="291"/>
      <c r="R62" s="291"/>
      <c r="S62" s="291">
        <f>IF(F62=LIJSTJES!G$3,ACHTER_INVOER!E62*ACHTER_INVOER!H62,IF(ACHTER_INVOER!F62=LIJSTJES!G$2,ACHTER_INVOER!E62*ACHTER_INVOER!G62/1000*ACHTER_INVOER!H62,ACHTER_INVOER!E62*0))</f>
        <v>0</v>
      </c>
      <c r="T62" s="291">
        <f>IF($F62=LIJSTJES!$G$3,ACHTER_INVOER!$E62*ACHTER_INVOER!I62,IF(ACHTER_INVOER!$F62=LIJSTJES!$G$2,ACHTER_INVOER!$E62*ACHTER_INVOER!$G62/1000*ACHTER_INVOER!I62,ACHTER_INVOER!F62*0))</f>
        <v>0</v>
      </c>
      <c r="U62" s="291">
        <f>IF($F62=LIJSTJES!$G$3,ACHTER_INVOER!$E62*ACHTER_INVOER!J62,IF(ACHTER_INVOER!$F62=LIJSTJES!$G$2,ACHTER_INVOER!$E62*ACHTER_INVOER!$G62/1000*ACHTER_INVOER!J62,ACHTER_INVOER!G62*0))</f>
        <v>0</v>
      </c>
      <c r="V62" s="291">
        <f>IF(N62=LIJSTJES!$G$7,O62,0)</f>
        <v>0</v>
      </c>
      <c r="W62" s="291">
        <f t="shared" si="19"/>
        <v>0</v>
      </c>
      <c r="X62" s="291">
        <f t="shared" si="20"/>
        <v>0</v>
      </c>
      <c r="Y62" s="291">
        <f t="shared" si="21"/>
        <v>0</v>
      </c>
    </row>
    <row r="63" spans="1:29" x14ac:dyDescent="0.2">
      <c r="H63" s="301" t="s">
        <v>187</v>
      </c>
      <c r="O63" s="314">
        <f>SUM(O56:O62)</f>
        <v>267317.5</v>
      </c>
      <c r="P63" s="314">
        <f>SUM(P56:P62)</f>
        <v>805173.19277108437</v>
      </c>
      <c r="Q63" s="314">
        <f t="shared" ref="Q63:AB63" si="22">SUM(Q56:Q62)</f>
        <v>0</v>
      </c>
      <c r="R63" s="314">
        <f t="shared" si="22"/>
        <v>0</v>
      </c>
      <c r="S63" s="314">
        <f t="shared" ref="S63:Y63" si="23">SUM(S56:S62)</f>
        <v>247268687.5</v>
      </c>
      <c r="T63" s="314">
        <f t="shared" si="23"/>
        <v>534635</v>
      </c>
      <c r="U63" s="314">
        <f t="shared" si="23"/>
        <v>20884179.6875</v>
      </c>
      <c r="V63" s="314">
        <f t="shared" si="23"/>
        <v>267317.5</v>
      </c>
      <c r="W63" s="314">
        <f t="shared" si="23"/>
        <v>247268687.5</v>
      </c>
      <c r="X63" s="314">
        <f t="shared" si="23"/>
        <v>534635</v>
      </c>
      <c r="Y63" s="314">
        <f t="shared" si="23"/>
        <v>20884179.6875</v>
      </c>
      <c r="Z63" s="314">
        <f>IF(O63&gt;0,S63/O63,0)</f>
        <v>925</v>
      </c>
      <c r="AA63" s="314">
        <f t="shared" si="22"/>
        <v>0</v>
      </c>
      <c r="AB63" s="314">
        <f t="shared" si="22"/>
        <v>0</v>
      </c>
    </row>
    <row r="64" spans="1:29" x14ac:dyDescent="0.2">
      <c r="A64" s="300" t="s">
        <v>171</v>
      </c>
      <c r="C64" s="287"/>
      <c r="D64" s="317"/>
      <c r="E64" s="295" t="s">
        <v>167</v>
      </c>
      <c r="F64" s="295" t="s">
        <v>147</v>
      </c>
      <c r="G64" s="318" t="s">
        <v>150</v>
      </c>
      <c r="H64" s="319" t="s">
        <v>2</v>
      </c>
      <c r="I64" s="319" t="s">
        <v>3</v>
      </c>
      <c r="J64" s="295" t="s">
        <v>90</v>
      </c>
      <c r="S64" s="306" t="s">
        <v>2</v>
      </c>
      <c r="T64" s="306" t="s">
        <v>3</v>
      </c>
      <c r="U64" s="306" t="s">
        <v>90</v>
      </c>
      <c r="V64" s="306" t="s">
        <v>169</v>
      </c>
      <c r="W64" s="286" t="s">
        <v>172</v>
      </c>
      <c r="X64" s="286" t="s">
        <v>173</v>
      </c>
      <c r="Y64" s="286" t="s">
        <v>174</v>
      </c>
    </row>
    <row r="65" spans="1:29" ht="15" x14ac:dyDescent="0.25">
      <c r="B65" s="566" t="str">
        <f>INVOERPAGINA!B43</f>
        <v>Overige ruwvoeders</v>
      </c>
      <c r="C65" s="567"/>
      <c r="D65" s="568"/>
      <c r="E65" s="350">
        <f>INVOERPAGINA!$E$43/100*(INVOERPAGINA!$C$17*365*INVOERPAGINA!$E$37)*(1-(INVOERPAGINA!$F$29*30.5)/365)+IF(INVOERPAGINA!$B$29=LIJSTJES!$B$5,0,(INVOERPAGINA!$F$29*30.5*INVOERPAGINA!$C$17*INVOERPAGINA!$E$34))</f>
        <v>0</v>
      </c>
      <c r="F65" s="351" t="s">
        <v>148</v>
      </c>
      <c r="G65" s="352">
        <f>INVOERPAGINA!G43</f>
        <v>840</v>
      </c>
      <c r="H65" s="352">
        <f>INVOERPAGINA!H43</f>
        <v>375</v>
      </c>
      <c r="I65" s="352">
        <f>INVOERPAGINA!I43</f>
        <v>1.2</v>
      </c>
      <c r="J65" s="352">
        <f>INVOERPAGINA!J43</f>
        <v>44.375</v>
      </c>
      <c r="N65" s="356" t="s">
        <v>164</v>
      </c>
      <c r="O65" s="291">
        <f>IF(E65&gt;0,IF(F65=LIJSTJES!G$3,ACHTER_INVOER!E65,IF(ACHTER_INVOER!F65=LIJSTJES!G$2,ACHTER_INVOER!E65*ACHTER_INVOER!G65/1000,ACHTER_INVOER!E65*0)),0)</f>
        <v>0</v>
      </c>
      <c r="P65" s="291">
        <f>IF(G65&gt;0,IF(F65=LIJSTJES!G$3,E65/G65*1000,E65),0)</f>
        <v>0</v>
      </c>
      <c r="Q65" s="291"/>
      <c r="R65" s="291"/>
      <c r="S65" s="291">
        <f>IF(F65=LIJSTJES!G$3,ACHTER_INVOER!E65*ACHTER_INVOER!H65,IF(ACHTER_INVOER!F65=LIJSTJES!G$2,ACHTER_INVOER!E65*ACHTER_INVOER!G65/1000*ACHTER_INVOER!H65,ACHTER_INVOER!E65*0))</f>
        <v>0</v>
      </c>
      <c r="T65" s="291">
        <f>IF($F65=LIJSTJES!$G$3,ACHTER_INVOER!$E65*ACHTER_INVOER!I65,IF(ACHTER_INVOER!$F65=LIJSTJES!$G$2,ACHTER_INVOER!$E65*ACHTER_INVOER!$G65/1000*ACHTER_INVOER!I65,ACHTER_INVOER!F65*0))</f>
        <v>0</v>
      </c>
      <c r="U65" s="291">
        <f>IF($F65=LIJSTJES!$G$3,ACHTER_INVOER!$E65*ACHTER_INVOER!J65,IF(ACHTER_INVOER!$F65=LIJSTJES!$G$2,ACHTER_INVOER!$E65*ACHTER_INVOER!$G65/1000*ACHTER_INVOER!J65,ACHTER_INVOER!G65*0))</f>
        <v>0</v>
      </c>
      <c r="V65" s="291">
        <f>IF(N65=LIJSTJES!$G$7,O65,0)</f>
        <v>0</v>
      </c>
      <c r="W65" s="291">
        <f t="shared" ref="W65:W71" si="24">H65*V65</f>
        <v>0</v>
      </c>
      <c r="X65" s="291">
        <f t="shared" ref="X65:X71" si="25">I65*V65</f>
        <v>0</v>
      </c>
      <c r="Y65" s="291">
        <f t="shared" ref="Y65:Y71" si="26">J65*V65</f>
        <v>0</v>
      </c>
      <c r="Z65" s="291"/>
    </row>
    <row r="66" spans="1:29" ht="15" x14ac:dyDescent="0.25">
      <c r="B66" s="566"/>
      <c r="C66" s="567"/>
      <c r="D66" s="568"/>
      <c r="E66" s="350"/>
      <c r="F66" s="351" t="s">
        <v>148</v>
      </c>
      <c r="G66" s="352"/>
      <c r="H66" s="353"/>
      <c r="I66" s="354"/>
      <c r="J66" s="355"/>
      <c r="N66" s="356" t="s">
        <v>164</v>
      </c>
      <c r="O66" s="291">
        <f>IF(E66&gt;0,IF(F66=LIJSTJES!G$3,ACHTER_INVOER!E66,IF(ACHTER_INVOER!F66=LIJSTJES!G$2,ACHTER_INVOER!E66*ACHTER_INVOER!G66/1000,ACHTER_INVOER!E66*0)),0)</f>
        <v>0</v>
      </c>
      <c r="P66" s="291">
        <f>IF(G66&gt;0,IF(F66=LIJSTJES!G$3,E66/G66*1000,E66),0)</f>
        <v>0</v>
      </c>
      <c r="Q66" s="291"/>
      <c r="R66" s="291"/>
      <c r="S66" s="291">
        <f>IF(F66=LIJSTJES!G$3,ACHTER_INVOER!E66*ACHTER_INVOER!H66,IF(ACHTER_INVOER!F66=LIJSTJES!G$2,ACHTER_INVOER!E66*ACHTER_INVOER!G66/1000*ACHTER_INVOER!H66,ACHTER_INVOER!E66*0))</f>
        <v>0</v>
      </c>
      <c r="T66" s="291">
        <f>IF($F66=LIJSTJES!$G$3,ACHTER_INVOER!$E66*ACHTER_INVOER!I66,IF(ACHTER_INVOER!$F66=LIJSTJES!$G$2,ACHTER_INVOER!$E66*ACHTER_INVOER!$G66/1000*ACHTER_INVOER!I66,ACHTER_INVOER!F66*0))</f>
        <v>0</v>
      </c>
      <c r="U66" s="291">
        <f>IF($F66=LIJSTJES!$G$3,ACHTER_INVOER!$E66*ACHTER_INVOER!J66,IF(ACHTER_INVOER!$F66=LIJSTJES!$G$2,ACHTER_INVOER!$E66*ACHTER_INVOER!$G66/1000*ACHTER_INVOER!J66,ACHTER_INVOER!G66*0))</f>
        <v>0</v>
      </c>
      <c r="V66" s="291">
        <f>IF(N66=LIJSTJES!$G$7,O66,0)</f>
        <v>0</v>
      </c>
      <c r="W66" s="291">
        <f t="shared" si="24"/>
        <v>0</v>
      </c>
      <c r="X66" s="291">
        <f t="shared" si="25"/>
        <v>0</v>
      </c>
      <c r="Y66" s="291">
        <f t="shared" si="26"/>
        <v>0</v>
      </c>
      <c r="Z66" s="291"/>
    </row>
    <row r="67" spans="1:29" ht="15" x14ac:dyDescent="0.25">
      <c r="B67" s="566"/>
      <c r="C67" s="567"/>
      <c r="D67" s="568"/>
      <c r="E67" s="350"/>
      <c r="F67" s="351" t="s">
        <v>148</v>
      </c>
      <c r="G67" s="352"/>
      <c r="H67" s="353"/>
      <c r="I67" s="354"/>
      <c r="J67" s="355"/>
      <c r="N67" s="356" t="s">
        <v>164</v>
      </c>
      <c r="O67" s="291">
        <f>IF(E67&gt;0,IF(F67=LIJSTJES!G$3,ACHTER_INVOER!E67,IF(ACHTER_INVOER!F67=LIJSTJES!G$2,ACHTER_INVOER!E67*ACHTER_INVOER!G67/1000,ACHTER_INVOER!E67*0)),0)</f>
        <v>0</v>
      </c>
      <c r="P67" s="291">
        <f>IF(G67&gt;0,IF(F67=LIJSTJES!G$3,E67/G67*1000,E67),0)</f>
        <v>0</v>
      </c>
      <c r="Q67" s="291"/>
      <c r="R67" s="291"/>
      <c r="S67" s="291">
        <f>IF(F67=LIJSTJES!G$3,ACHTER_INVOER!E67*ACHTER_INVOER!H67,IF(ACHTER_INVOER!F67=LIJSTJES!G$2,ACHTER_INVOER!E67*ACHTER_INVOER!G67/1000*ACHTER_INVOER!H67,ACHTER_INVOER!E67*0))</f>
        <v>0</v>
      </c>
      <c r="T67" s="291">
        <f>IF($F67=LIJSTJES!$G$3,ACHTER_INVOER!$E67*ACHTER_INVOER!I67,IF(ACHTER_INVOER!$F67=LIJSTJES!$G$2,ACHTER_INVOER!$E67*ACHTER_INVOER!$G67/1000*ACHTER_INVOER!I67,ACHTER_INVOER!F67*0))</f>
        <v>0</v>
      </c>
      <c r="U67" s="291">
        <f>IF($F67=LIJSTJES!$G$3,ACHTER_INVOER!$E67*ACHTER_INVOER!J67,IF(ACHTER_INVOER!$F67=LIJSTJES!$G$2,ACHTER_INVOER!$E67*ACHTER_INVOER!$G67/1000*ACHTER_INVOER!J67,ACHTER_INVOER!G67*0))</f>
        <v>0</v>
      </c>
      <c r="V67" s="291">
        <f>IF(N67=LIJSTJES!$G$7,O67,0)</f>
        <v>0</v>
      </c>
      <c r="W67" s="291">
        <f t="shared" si="24"/>
        <v>0</v>
      </c>
      <c r="X67" s="291">
        <f t="shared" si="25"/>
        <v>0</v>
      </c>
      <c r="Y67" s="291">
        <f t="shared" si="26"/>
        <v>0</v>
      </c>
      <c r="Z67" s="291"/>
    </row>
    <row r="68" spans="1:29" ht="15" x14ac:dyDescent="0.25">
      <c r="A68" s="298"/>
      <c r="B68" s="357"/>
      <c r="C68" s="358"/>
      <c r="D68" s="359"/>
      <c r="E68" s="350"/>
      <c r="F68" s="351" t="s">
        <v>148</v>
      </c>
      <c r="G68" s="352"/>
      <c r="H68" s="353"/>
      <c r="I68" s="354"/>
      <c r="J68" s="355"/>
      <c r="N68" s="356" t="s">
        <v>164</v>
      </c>
      <c r="O68" s="291">
        <f>IF(E68&gt;0,IF(F68=LIJSTJES!G$3,ACHTER_INVOER!E68,IF(ACHTER_INVOER!F68=LIJSTJES!G$2,ACHTER_INVOER!E68*ACHTER_INVOER!G68/1000,ACHTER_INVOER!E68*0)),0)</f>
        <v>0</v>
      </c>
      <c r="P68" s="291">
        <f>IF(G68&gt;0,IF(F68=LIJSTJES!G$3,E68/G68*1000,E68),0)</f>
        <v>0</v>
      </c>
      <c r="Q68" s="291"/>
      <c r="R68" s="291"/>
      <c r="S68" s="291">
        <f>IF(F68=LIJSTJES!G$3,ACHTER_INVOER!E68*ACHTER_INVOER!H68,IF(ACHTER_INVOER!F68=LIJSTJES!G$2,ACHTER_INVOER!E68*ACHTER_INVOER!G68/1000*ACHTER_INVOER!H68,ACHTER_INVOER!E68*0))</f>
        <v>0</v>
      </c>
      <c r="T68" s="291">
        <f>IF($F68=LIJSTJES!$G$3,ACHTER_INVOER!$E68*ACHTER_INVOER!I68,IF(ACHTER_INVOER!$F68=LIJSTJES!$G$2,ACHTER_INVOER!$E68*ACHTER_INVOER!$G68/1000*ACHTER_INVOER!I68,ACHTER_INVOER!F68*0))</f>
        <v>0</v>
      </c>
      <c r="U68" s="291">
        <f>IF($F68=LIJSTJES!$G$3,ACHTER_INVOER!$E68*ACHTER_INVOER!J68,IF(ACHTER_INVOER!$F68=LIJSTJES!$G$2,ACHTER_INVOER!$E68*ACHTER_INVOER!$G68/1000*ACHTER_INVOER!J68,ACHTER_INVOER!G68*0))</f>
        <v>0</v>
      </c>
      <c r="V68" s="291">
        <f>IF(N68=LIJSTJES!$G$7,O68,0)</f>
        <v>0</v>
      </c>
      <c r="W68" s="291">
        <f t="shared" si="24"/>
        <v>0</v>
      </c>
      <c r="X68" s="291">
        <f t="shared" si="25"/>
        <v>0</v>
      </c>
      <c r="Y68" s="291">
        <f t="shared" si="26"/>
        <v>0</v>
      </c>
    </row>
    <row r="69" spans="1:29" ht="15" x14ac:dyDescent="0.25">
      <c r="A69" s="298"/>
      <c r="B69" s="357"/>
      <c r="C69" s="358"/>
      <c r="D69" s="359"/>
      <c r="E69" s="350"/>
      <c r="F69" s="351" t="s">
        <v>148</v>
      </c>
      <c r="G69" s="352"/>
      <c r="H69" s="352"/>
      <c r="I69" s="352"/>
      <c r="J69" s="360"/>
      <c r="N69" s="356" t="s">
        <v>164</v>
      </c>
      <c r="O69" s="291">
        <f>IF(E69&gt;0,IF(F69=LIJSTJES!G$3,ACHTER_INVOER!E69,IF(ACHTER_INVOER!F69=LIJSTJES!G$2,ACHTER_INVOER!E69*ACHTER_INVOER!G69/1000,ACHTER_INVOER!E69*0)),0)</f>
        <v>0</v>
      </c>
      <c r="P69" s="291">
        <f>IF(G69&gt;0,IF(F69=LIJSTJES!G$3,E69/G69*1000,E69),0)</f>
        <v>0</v>
      </c>
      <c r="Q69" s="291"/>
      <c r="R69" s="291"/>
      <c r="S69" s="291">
        <f>IF(F69=LIJSTJES!G$3,ACHTER_INVOER!E69*ACHTER_INVOER!H69,IF(ACHTER_INVOER!F69=LIJSTJES!G$2,ACHTER_INVOER!E69*ACHTER_INVOER!G69/1000*ACHTER_INVOER!H69,ACHTER_INVOER!E69*0))</f>
        <v>0</v>
      </c>
      <c r="T69" s="291">
        <f>IF($F69=LIJSTJES!$G$3,ACHTER_INVOER!$E69*ACHTER_INVOER!I69,IF(ACHTER_INVOER!$F69=LIJSTJES!$G$2,ACHTER_INVOER!$E69*ACHTER_INVOER!$G69/1000*ACHTER_INVOER!I69,ACHTER_INVOER!F69*0))</f>
        <v>0</v>
      </c>
      <c r="U69" s="291">
        <f>IF($F69=LIJSTJES!$G$3,ACHTER_INVOER!$E69*ACHTER_INVOER!J69,IF(ACHTER_INVOER!$F69=LIJSTJES!$G$2,ACHTER_INVOER!$E69*ACHTER_INVOER!$G69/1000*ACHTER_INVOER!J69,ACHTER_INVOER!G69*0))</f>
        <v>0</v>
      </c>
      <c r="V69" s="291">
        <f>IF(N69=LIJSTJES!$G$7,O69,0)</f>
        <v>0</v>
      </c>
      <c r="W69" s="291">
        <f t="shared" si="24"/>
        <v>0</v>
      </c>
      <c r="X69" s="291">
        <f t="shared" si="25"/>
        <v>0</v>
      </c>
      <c r="Y69" s="291">
        <f t="shared" si="26"/>
        <v>0</v>
      </c>
    </row>
    <row r="70" spans="1:29" ht="15" x14ac:dyDescent="0.25">
      <c r="A70" s="298"/>
      <c r="B70" s="357"/>
      <c r="C70" s="358"/>
      <c r="D70" s="359"/>
      <c r="E70" s="350"/>
      <c r="F70" s="351" t="s">
        <v>148</v>
      </c>
      <c r="G70" s="352"/>
      <c r="H70" s="352"/>
      <c r="I70" s="352"/>
      <c r="J70" s="360"/>
      <c r="N70" s="356" t="s">
        <v>164</v>
      </c>
      <c r="O70" s="291">
        <f>IF(E70&gt;0,IF(F70=LIJSTJES!G$3,ACHTER_INVOER!E70,IF(ACHTER_INVOER!F70=LIJSTJES!G$2,ACHTER_INVOER!E70*ACHTER_INVOER!G70/1000,ACHTER_INVOER!E70*0)),0)</f>
        <v>0</v>
      </c>
      <c r="P70" s="291">
        <f>IF(G70&gt;0,IF(F70=LIJSTJES!G$3,E70/G70*1000,E70),0)</f>
        <v>0</v>
      </c>
      <c r="Q70" s="291"/>
      <c r="R70" s="291"/>
      <c r="S70" s="291">
        <f>IF(F70=LIJSTJES!G$3,ACHTER_INVOER!E70*ACHTER_INVOER!H70,IF(ACHTER_INVOER!F70=LIJSTJES!G$2,ACHTER_INVOER!E70*ACHTER_INVOER!G70/1000*ACHTER_INVOER!H70,ACHTER_INVOER!E70*0))</f>
        <v>0</v>
      </c>
      <c r="T70" s="291">
        <f>IF($F70=LIJSTJES!$G$3,ACHTER_INVOER!$E70*ACHTER_INVOER!I70,IF(ACHTER_INVOER!$F70=LIJSTJES!$G$2,ACHTER_INVOER!$E70*ACHTER_INVOER!$G70/1000*ACHTER_INVOER!I70,ACHTER_INVOER!F70*0))</f>
        <v>0</v>
      </c>
      <c r="U70" s="291">
        <f>IF($F70=LIJSTJES!$G$3,ACHTER_INVOER!$E70*ACHTER_INVOER!J70,IF(ACHTER_INVOER!$F70=LIJSTJES!$G$2,ACHTER_INVOER!$E70*ACHTER_INVOER!$G70/1000*ACHTER_INVOER!J70,ACHTER_INVOER!G70*0))</f>
        <v>0</v>
      </c>
      <c r="V70" s="291">
        <f>IF(N70=LIJSTJES!$G$7,O70,0)</f>
        <v>0</v>
      </c>
      <c r="W70" s="291">
        <f t="shared" si="24"/>
        <v>0</v>
      </c>
      <c r="X70" s="291">
        <f t="shared" si="25"/>
        <v>0</v>
      </c>
      <c r="Y70" s="291">
        <f t="shared" si="26"/>
        <v>0</v>
      </c>
    </row>
    <row r="71" spans="1:29" ht="15" x14ac:dyDescent="0.25">
      <c r="A71" s="298"/>
      <c r="B71" s="357"/>
      <c r="C71" s="358"/>
      <c r="D71" s="359"/>
      <c r="E71" s="350"/>
      <c r="F71" s="351" t="s">
        <v>148</v>
      </c>
      <c r="G71" s="352"/>
      <c r="H71" s="352"/>
      <c r="I71" s="352"/>
      <c r="J71" s="360"/>
      <c r="N71" s="356" t="s">
        <v>164</v>
      </c>
      <c r="O71" s="291">
        <f>IF(E71&gt;0,IF(F71=LIJSTJES!G$3,ACHTER_INVOER!E71,IF(ACHTER_INVOER!F71=LIJSTJES!G$2,ACHTER_INVOER!E71*ACHTER_INVOER!G71/1000,ACHTER_INVOER!E71*0)),0)</f>
        <v>0</v>
      </c>
      <c r="P71" s="291">
        <f>IF(G71&gt;0,IF(F71=LIJSTJES!G$3,E71/G71*1000,E71),0)</f>
        <v>0</v>
      </c>
      <c r="Q71" s="291"/>
      <c r="R71" s="291"/>
      <c r="S71" s="291">
        <f>IF(F71=LIJSTJES!G$3,ACHTER_INVOER!E71*ACHTER_INVOER!H71,IF(ACHTER_INVOER!F71=LIJSTJES!G$2,ACHTER_INVOER!E71*ACHTER_INVOER!G71/1000*ACHTER_INVOER!H71,ACHTER_INVOER!E71*0))</f>
        <v>0</v>
      </c>
      <c r="T71" s="291">
        <f>IF($F71=LIJSTJES!$G$3,ACHTER_INVOER!$E71*ACHTER_INVOER!I71,IF(ACHTER_INVOER!$F71=LIJSTJES!$G$2,ACHTER_INVOER!$E71*ACHTER_INVOER!$G71/1000*ACHTER_INVOER!I71,ACHTER_INVOER!F71*0))</f>
        <v>0</v>
      </c>
      <c r="U71" s="291">
        <f>IF($F71=LIJSTJES!$G$3,ACHTER_INVOER!$E71*ACHTER_INVOER!J71,IF(ACHTER_INVOER!$F71=LIJSTJES!$G$2,ACHTER_INVOER!$E71*ACHTER_INVOER!$G71/1000*ACHTER_INVOER!J71,ACHTER_INVOER!G71*0))</f>
        <v>0</v>
      </c>
      <c r="V71" s="291">
        <f>IF(N71=LIJSTJES!$G$7,O71,0)</f>
        <v>0</v>
      </c>
      <c r="W71" s="291">
        <f t="shared" si="24"/>
        <v>0</v>
      </c>
      <c r="X71" s="291">
        <f t="shared" si="25"/>
        <v>0</v>
      </c>
      <c r="Y71" s="291">
        <f t="shared" si="26"/>
        <v>0</v>
      </c>
    </row>
    <row r="72" spans="1:29" x14ac:dyDescent="0.2">
      <c r="A72" s="300"/>
      <c r="C72" s="287"/>
      <c r="D72" s="317"/>
      <c r="G72" s="291"/>
      <c r="H72" s="317"/>
      <c r="I72" s="317"/>
      <c r="O72" s="314">
        <f>SUM(O65:O71)</f>
        <v>0</v>
      </c>
      <c r="P72" s="314">
        <f>SUM(P65:P71)</f>
        <v>0</v>
      </c>
      <c r="Q72" s="314">
        <f t="shared" ref="Q72:R72" si="27">SUM(Q65:Q71)</f>
        <v>0</v>
      </c>
      <c r="R72" s="314">
        <f t="shared" si="27"/>
        <v>0</v>
      </c>
      <c r="S72" s="314">
        <f t="shared" ref="S72:Y72" si="28">SUM(S65:S71)</f>
        <v>0</v>
      </c>
      <c r="T72" s="314">
        <f t="shared" si="28"/>
        <v>0</v>
      </c>
      <c r="U72" s="314">
        <f t="shared" si="28"/>
        <v>0</v>
      </c>
      <c r="V72" s="314">
        <f t="shared" si="28"/>
        <v>0</v>
      </c>
      <c r="W72" s="314">
        <f t="shared" si="28"/>
        <v>0</v>
      </c>
      <c r="X72" s="314">
        <f t="shared" si="28"/>
        <v>0</v>
      </c>
      <c r="Y72" s="314">
        <f t="shared" si="28"/>
        <v>0</v>
      </c>
      <c r="Z72" s="314">
        <f>IF(O72&gt;0,S72/O72,0)</f>
        <v>0</v>
      </c>
      <c r="AA72" s="314">
        <f>SUM(AA65:AA71)</f>
        <v>0</v>
      </c>
      <c r="AB72" s="314">
        <f>SUM(AB65:AB71)</f>
        <v>0</v>
      </c>
      <c r="AC72" s="316"/>
    </row>
    <row r="73" spans="1:29" x14ac:dyDescent="0.2">
      <c r="A73" s="300"/>
      <c r="C73" s="287"/>
      <c r="D73" s="317"/>
      <c r="G73" s="291"/>
      <c r="H73" s="317"/>
      <c r="I73" s="317"/>
    </row>
    <row r="99" spans="1:9" ht="12.2" customHeight="1" x14ac:dyDescent="0.2">
      <c r="A99" s="300"/>
      <c r="C99" s="287"/>
      <c r="D99" s="317"/>
      <c r="G99" s="291"/>
      <c r="H99" s="317"/>
      <c r="I99" s="317"/>
    </row>
    <row r="100" spans="1:9" x14ac:dyDescent="0.2">
      <c r="A100" s="300"/>
      <c r="C100" s="287"/>
      <c r="D100" s="317"/>
      <c r="G100" s="291"/>
      <c r="H100" s="317"/>
      <c r="I100" s="317"/>
    </row>
    <row r="101" spans="1:9" x14ac:dyDescent="0.2">
      <c r="A101" s="298"/>
    </row>
    <row r="102" spans="1:9" x14ac:dyDescent="0.2">
      <c r="A102" s="303"/>
      <c r="B102" s="298"/>
      <c r="C102" s="298"/>
      <c r="D102" s="298"/>
    </row>
    <row r="103" spans="1:9" ht="13.9" hidden="1" x14ac:dyDescent="0.3">
      <c r="B103" s="298"/>
      <c r="C103" s="298"/>
      <c r="D103" s="298"/>
    </row>
    <row r="104" spans="1:9" ht="14.45" hidden="1" thickBot="1" x14ac:dyDescent="0.35">
      <c r="A104" s="287"/>
      <c r="B104" s="321"/>
      <c r="D104" s="321"/>
      <c r="E104" s="321"/>
    </row>
    <row r="105" spans="1:9" ht="13.9" hidden="1" x14ac:dyDescent="0.3">
      <c r="A105" s="287"/>
      <c r="B105" s="322"/>
      <c r="C105" s="306"/>
      <c r="D105" s="323"/>
      <c r="E105" s="323"/>
    </row>
    <row r="106" spans="1:9" ht="13.9" hidden="1" x14ac:dyDescent="0.3">
      <c r="A106" s="287"/>
      <c r="B106" s="322"/>
      <c r="C106" s="306"/>
      <c r="D106" s="323"/>
      <c r="E106" s="323"/>
    </row>
    <row r="107" spans="1:9" ht="13.9" hidden="1" x14ac:dyDescent="0.3">
      <c r="A107" s="287"/>
      <c r="B107" s="322"/>
      <c r="C107" s="306"/>
      <c r="D107" s="323"/>
      <c r="E107" s="323"/>
    </row>
    <row r="108" spans="1:9" ht="13.9" hidden="1" x14ac:dyDescent="0.3">
      <c r="B108" s="322"/>
      <c r="C108" s="306"/>
      <c r="D108" s="323"/>
      <c r="E108" s="323"/>
    </row>
    <row r="109" spans="1:9" ht="13.9" hidden="1" x14ac:dyDescent="0.3">
      <c r="B109" s="322"/>
      <c r="C109" s="306"/>
      <c r="D109" s="323"/>
      <c r="E109" s="323"/>
    </row>
    <row r="110" spans="1:9" ht="13.9" hidden="1" x14ac:dyDescent="0.3">
      <c r="B110" s="322"/>
      <c r="C110" s="306"/>
      <c r="D110" s="323"/>
      <c r="E110" s="323"/>
    </row>
    <row r="111" spans="1:9" ht="13.9" hidden="1" x14ac:dyDescent="0.3">
      <c r="A111" s="303"/>
      <c r="B111" s="306"/>
      <c r="C111" s="306"/>
      <c r="D111" s="306"/>
      <c r="E111" s="306"/>
    </row>
    <row r="112" spans="1:9" ht="13.9" hidden="1" x14ac:dyDescent="0.3">
      <c r="B112" s="306"/>
      <c r="C112" s="306"/>
      <c r="D112" s="306"/>
      <c r="E112" s="306"/>
    </row>
    <row r="113" spans="1:5" ht="14.45" hidden="1" thickBot="1" x14ac:dyDescent="0.35">
      <c r="A113" s="287"/>
      <c r="B113" s="321"/>
      <c r="C113" s="306"/>
      <c r="D113" s="321"/>
      <c r="E113" s="321"/>
    </row>
    <row r="114" spans="1:5" ht="13.9" hidden="1" x14ac:dyDescent="0.3">
      <c r="A114" s="287"/>
      <c r="B114" s="322"/>
      <c r="C114" s="306"/>
      <c r="D114" s="323"/>
      <c r="E114" s="323"/>
    </row>
    <row r="115" spans="1:5" ht="13.9" hidden="1" x14ac:dyDescent="0.3">
      <c r="A115" s="287"/>
      <c r="B115" s="322"/>
      <c r="C115" s="324"/>
      <c r="D115" s="323"/>
      <c r="E115" s="323"/>
    </row>
    <row r="116" spans="1:5" ht="13.9" hidden="1" x14ac:dyDescent="0.3">
      <c r="A116" s="287"/>
      <c r="B116" s="322"/>
      <c r="C116" s="306"/>
      <c r="D116" s="323"/>
      <c r="E116" s="323"/>
    </row>
    <row r="117" spans="1:5" ht="13.9" hidden="1" x14ac:dyDescent="0.3">
      <c r="A117" s="287"/>
      <c r="B117" s="322"/>
      <c r="C117" s="306"/>
      <c r="D117" s="323"/>
      <c r="E117" s="322"/>
    </row>
    <row r="118" spans="1:5" ht="13.9" hidden="1" x14ac:dyDescent="0.3">
      <c r="A118" s="287"/>
      <c r="B118" s="322"/>
      <c r="C118" s="306"/>
      <c r="D118" s="323"/>
      <c r="E118" s="323"/>
    </row>
    <row r="119" spans="1:5" ht="13.9" hidden="1" x14ac:dyDescent="0.3">
      <c r="A119" s="287"/>
      <c r="B119" s="322"/>
      <c r="C119" s="306"/>
      <c r="D119" s="323"/>
      <c r="E119" s="323"/>
    </row>
    <row r="120" spans="1:5" ht="13.9" hidden="1" x14ac:dyDescent="0.3">
      <c r="A120" s="287"/>
      <c r="B120" s="322"/>
      <c r="C120" s="306"/>
      <c r="D120" s="323"/>
      <c r="E120" s="323"/>
    </row>
    <row r="121" spans="1:5" ht="13.9" hidden="1" x14ac:dyDescent="0.3">
      <c r="B121" s="322"/>
      <c r="C121" s="306"/>
      <c r="D121" s="323"/>
      <c r="E121" s="323"/>
    </row>
    <row r="122" spans="1:5" ht="13.9" hidden="1" x14ac:dyDescent="0.3">
      <c r="B122" s="322"/>
      <c r="C122" s="306"/>
      <c r="D122" s="323"/>
      <c r="E122" s="323"/>
    </row>
    <row r="123" spans="1:5" ht="13.9" hidden="1" x14ac:dyDescent="0.3">
      <c r="A123" s="298"/>
      <c r="C123" s="291"/>
      <c r="D123" s="317"/>
    </row>
    <row r="124" spans="1:5" ht="13.9" hidden="1" x14ac:dyDescent="0.3">
      <c r="A124" s="303"/>
      <c r="B124" s="298"/>
      <c r="C124" s="298"/>
      <c r="D124" s="298"/>
    </row>
    <row r="125" spans="1:5" ht="13.9" hidden="1" x14ac:dyDescent="0.3">
      <c r="B125" s="298"/>
      <c r="C125" s="298"/>
      <c r="D125" s="298"/>
    </row>
    <row r="126" spans="1:5" ht="14.45" hidden="1" thickBot="1" x14ac:dyDescent="0.35">
      <c r="A126" s="287"/>
      <c r="B126" s="325"/>
      <c r="D126" s="321"/>
      <c r="E126" s="321"/>
    </row>
    <row r="127" spans="1:5" ht="13.9" hidden="1" x14ac:dyDescent="0.3">
      <c r="A127" s="287"/>
      <c r="B127" s="322"/>
      <c r="C127" s="326"/>
      <c r="D127" s="323"/>
      <c r="E127" s="323"/>
    </row>
    <row r="128" spans="1:5" ht="13.9" hidden="1" x14ac:dyDescent="0.3">
      <c r="A128" s="287"/>
      <c r="B128" s="322"/>
      <c r="C128" s="326"/>
      <c r="D128" s="323"/>
      <c r="E128" s="323"/>
    </row>
    <row r="129" spans="1:5" ht="13.9" hidden="1" x14ac:dyDescent="0.3">
      <c r="A129" s="287"/>
      <c r="B129" s="322"/>
      <c r="C129" s="326"/>
      <c r="D129" s="323"/>
      <c r="E129" s="323"/>
    </row>
    <row r="130" spans="1:5" ht="13.9" hidden="1" x14ac:dyDescent="0.3">
      <c r="B130" s="322"/>
      <c r="C130" s="326"/>
      <c r="D130" s="323"/>
      <c r="E130" s="323"/>
    </row>
    <row r="131" spans="1:5" ht="13.9" hidden="1" x14ac:dyDescent="0.3">
      <c r="B131" s="322"/>
      <c r="C131" s="326"/>
      <c r="D131" s="323"/>
      <c r="E131" s="323"/>
    </row>
    <row r="132" spans="1:5" ht="13.9" hidden="1" x14ac:dyDescent="0.3">
      <c r="B132" s="322"/>
      <c r="C132" s="326"/>
      <c r="D132" s="323"/>
      <c r="E132" s="323"/>
    </row>
    <row r="133" spans="1:5" ht="13.9" hidden="1" x14ac:dyDescent="0.3">
      <c r="A133" s="303"/>
      <c r="B133" s="306"/>
      <c r="C133" s="306"/>
      <c r="D133" s="306"/>
      <c r="E133" s="306"/>
    </row>
    <row r="134" spans="1:5" ht="13.9" hidden="1" x14ac:dyDescent="0.3">
      <c r="B134" s="306"/>
      <c r="C134" s="306"/>
      <c r="D134" s="306"/>
      <c r="E134" s="306"/>
    </row>
    <row r="135" spans="1:5" ht="14.45" hidden="1" thickBot="1" x14ac:dyDescent="0.35">
      <c r="A135" s="287"/>
      <c r="B135" s="325"/>
      <c r="C135" s="306"/>
      <c r="D135" s="321"/>
      <c r="E135" s="321"/>
    </row>
    <row r="136" spans="1:5" ht="13.9" hidden="1" x14ac:dyDescent="0.3">
      <c r="A136" s="287"/>
      <c r="B136" s="322"/>
      <c r="C136" s="306"/>
      <c r="D136" s="323"/>
      <c r="E136" s="323"/>
    </row>
    <row r="137" spans="1:5" ht="13.9" hidden="1" x14ac:dyDescent="0.3">
      <c r="A137" s="287"/>
      <c r="B137" s="322"/>
      <c r="C137" s="324"/>
      <c r="D137" s="323"/>
      <c r="E137" s="323"/>
    </row>
    <row r="138" spans="1:5" ht="13.9" hidden="1" x14ac:dyDescent="0.3">
      <c r="A138" s="287"/>
      <c r="B138" s="322"/>
      <c r="C138" s="306"/>
      <c r="D138" s="323"/>
      <c r="E138" s="323"/>
    </row>
    <row r="139" spans="1:5" ht="13.9" hidden="1" x14ac:dyDescent="0.3">
      <c r="A139" s="287"/>
      <c r="B139" s="322"/>
      <c r="C139" s="306"/>
      <c r="D139" s="323"/>
      <c r="E139" s="322"/>
    </row>
    <row r="140" spans="1:5" ht="13.9" hidden="1" x14ac:dyDescent="0.3">
      <c r="A140" s="287"/>
      <c r="B140" s="322"/>
      <c r="C140" s="306"/>
      <c r="D140" s="323"/>
      <c r="E140" s="323"/>
    </row>
    <row r="141" spans="1:5" hidden="1" x14ac:dyDescent="0.2">
      <c r="A141" s="287"/>
      <c r="B141" s="322"/>
      <c r="C141" s="306"/>
      <c r="D141" s="323"/>
      <c r="E141" s="323"/>
    </row>
    <row r="142" spans="1:5" hidden="1" x14ac:dyDescent="0.2">
      <c r="A142" s="287"/>
      <c r="B142" s="322"/>
      <c r="C142" s="306"/>
      <c r="D142" s="323"/>
      <c r="E142" s="323"/>
    </row>
    <row r="143" spans="1:5" hidden="1" x14ac:dyDescent="0.2">
      <c r="B143" s="322"/>
      <c r="C143" s="306"/>
      <c r="D143" s="323"/>
      <c r="E143" s="323"/>
    </row>
    <row r="144" spans="1:5" hidden="1" x14ac:dyDescent="0.2">
      <c r="B144" s="322"/>
      <c r="C144" s="306"/>
      <c r="D144" s="323"/>
      <c r="E144" s="323"/>
    </row>
    <row r="145" spans="1:8" hidden="1" x14ac:dyDescent="0.2">
      <c r="C145" s="291"/>
      <c r="D145" s="317"/>
    </row>
    <row r="146" spans="1:8" hidden="1" x14ac:dyDescent="0.2">
      <c r="C146" s="291"/>
      <c r="D146" s="317"/>
    </row>
    <row r="147" spans="1:8" hidden="1" x14ac:dyDescent="0.2">
      <c r="C147" s="291"/>
      <c r="D147" s="327"/>
      <c r="E147" s="306"/>
      <c r="F147" s="306"/>
      <c r="G147" s="306"/>
    </row>
    <row r="148" spans="1:8" x14ac:dyDescent="0.2">
      <c r="B148" s="287"/>
      <c r="C148" s="291"/>
      <c r="D148" s="291"/>
      <c r="E148" s="306"/>
      <c r="F148" s="324"/>
      <c r="G148" s="306"/>
    </row>
    <row r="149" spans="1:8" x14ac:dyDescent="0.2">
      <c r="B149" s="287"/>
      <c r="C149" s="291"/>
      <c r="D149" s="291"/>
      <c r="E149" s="306"/>
      <c r="F149" s="324"/>
      <c r="G149" s="306"/>
    </row>
    <row r="150" spans="1:8" x14ac:dyDescent="0.2">
      <c r="B150" s="287"/>
      <c r="C150" s="291"/>
      <c r="D150" s="291"/>
      <c r="E150" s="306"/>
      <c r="F150" s="324"/>
      <c r="G150" s="306"/>
    </row>
    <row r="151" spans="1:8" x14ac:dyDescent="0.2">
      <c r="C151" s="328"/>
      <c r="D151" s="317"/>
    </row>
    <row r="152" spans="1:8" x14ac:dyDescent="0.2">
      <c r="A152" s="287"/>
      <c r="B152" s="291"/>
    </row>
    <row r="153" spans="1:8" x14ac:dyDescent="0.2">
      <c r="A153" s="287"/>
      <c r="F153" s="320"/>
      <c r="H153" s="291"/>
    </row>
    <row r="154" spans="1:8" x14ac:dyDescent="0.2">
      <c r="A154" s="287"/>
      <c r="D154" s="329"/>
      <c r="F154" s="320"/>
      <c r="H154" s="291"/>
    </row>
    <row r="157" spans="1:8" x14ac:dyDescent="0.2">
      <c r="C157" s="330"/>
    </row>
    <row r="158" spans="1:8" x14ac:dyDescent="0.2">
      <c r="C158" s="331"/>
      <c r="D158" s="291"/>
    </row>
    <row r="162" spans="1:32" x14ac:dyDescent="0.2">
      <c r="B162" s="291"/>
    </row>
    <row r="164" spans="1:32" x14ac:dyDescent="0.2">
      <c r="C164" s="291"/>
    </row>
    <row r="165" spans="1:32" x14ac:dyDescent="0.2">
      <c r="C165" s="320"/>
    </row>
    <row r="166" spans="1:32" x14ac:dyDescent="0.2">
      <c r="C166" s="320"/>
    </row>
    <row r="168" spans="1:32" x14ac:dyDescent="0.2">
      <c r="C168" s="306"/>
    </row>
    <row r="170" spans="1:32" x14ac:dyDescent="0.2">
      <c r="F170" s="317"/>
      <c r="G170" s="317"/>
    </row>
    <row r="171" spans="1:32" x14ac:dyDescent="0.2">
      <c r="F171" s="317"/>
      <c r="G171" s="317"/>
    </row>
    <row r="172" spans="1:32" x14ac:dyDescent="0.2">
      <c r="F172" s="317"/>
      <c r="G172" s="317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  <c r="AB172" s="332"/>
      <c r="AC172" s="332"/>
      <c r="AD172" s="332"/>
      <c r="AE172" s="332"/>
      <c r="AF172" s="332"/>
    </row>
    <row r="173" spans="1:32" s="332" customFormat="1" x14ac:dyDescent="0.2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</row>
    <row r="174" spans="1:32" x14ac:dyDescent="0.2"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</row>
    <row r="175" spans="1:32" s="332" customFormat="1" x14ac:dyDescent="0.2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</row>
    <row r="230" spans="2:3" x14ac:dyDescent="0.2">
      <c r="C230" s="291"/>
    </row>
    <row r="231" spans="2:3" x14ac:dyDescent="0.2">
      <c r="C231" s="291"/>
    </row>
    <row r="232" spans="2:3" x14ac:dyDescent="0.2">
      <c r="C232" s="291"/>
    </row>
    <row r="233" spans="2:3" x14ac:dyDescent="0.2">
      <c r="C233" s="291"/>
    </row>
    <row r="234" spans="2:3" x14ac:dyDescent="0.2">
      <c r="C234" s="291"/>
    </row>
    <row r="235" spans="2:3" x14ac:dyDescent="0.2">
      <c r="C235" s="291"/>
    </row>
    <row r="236" spans="2:3" x14ac:dyDescent="0.2">
      <c r="B236" s="291"/>
      <c r="C236" s="291"/>
    </row>
    <row r="237" spans="2:3" x14ac:dyDescent="0.2">
      <c r="B237" s="291"/>
      <c r="C237" s="291"/>
    </row>
    <row r="238" spans="2:3" x14ac:dyDescent="0.2">
      <c r="B238" s="291"/>
      <c r="C238" s="291"/>
    </row>
    <row r="239" spans="2:3" x14ac:dyDescent="0.2">
      <c r="C239" s="291"/>
    </row>
    <row r="240" spans="2:3" x14ac:dyDescent="0.2">
      <c r="C240" s="291"/>
    </row>
    <row r="241" spans="3:3" x14ac:dyDescent="0.2">
      <c r="C241" s="291"/>
    </row>
    <row r="242" spans="3:3" x14ac:dyDescent="0.2">
      <c r="C242" s="291"/>
    </row>
    <row r="243" spans="3:3" x14ac:dyDescent="0.2">
      <c r="C243" s="291"/>
    </row>
    <row r="244" spans="3:3" x14ac:dyDescent="0.2">
      <c r="C244" s="291"/>
    </row>
    <row r="247" spans="3:3" x14ac:dyDescent="0.2">
      <c r="C247" s="291"/>
    </row>
    <row r="248" spans="3:3" x14ac:dyDescent="0.2">
      <c r="C248" s="291"/>
    </row>
    <row r="249" spans="3:3" x14ac:dyDescent="0.2">
      <c r="C249" s="291"/>
    </row>
    <row r="252" spans="3:3" x14ac:dyDescent="0.2">
      <c r="C252" s="291"/>
    </row>
    <row r="253" spans="3:3" x14ac:dyDescent="0.2">
      <c r="C253" s="291"/>
    </row>
    <row r="254" spans="3:3" x14ac:dyDescent="0.2">
      <c r="C254" s="291"/>
    </row>
    <row r="257" spans="3:4" x14ac:dyDescent="0.2">
      <c r="C257" s="291"/>
    </row>
    <row r="258" spans="3:4" x14ac:dyDescent="0.2">
      <c r="C258" s="291"/>
    </row>
    <row r="259" spans="3:4" x14ac:dyDescent="0.2">
      <c r="C259" s="291"/>
      <c r="D259" s="320"/>
    </row>
    <row r="260" spans="3:4" x14ac:dyDescent="0.2">
      <c r="D260" s="320"/>
    </row>
  </sheetData>
  <dataConsolidate/>
  <mergeCells count="33">
    <mergeCell ref="B41:D41"/>
    <mergeCell ref="B42:D42"/>
    <mergeCell ref="B36:D36"/>
    <mergeCell ref="B37:D37"/>
    <mergeCell ref="B38:D38"/>
    <mergeCell ref="B39:D39"/>
    <mergeCell ref="B40:D40"/>
    <mergeCell ref="O12:Q12"/>
    <mergeCell ref="O14:Q14"/>
    <mergeCell ref="C13:E13"/>
    <mergeCell ref="C15:E15"/>
    <mergeCell ref="B47:D47"/>
    <mergeCell ref="B35:D35"/>
    <mergeCell ref="B43:D43"/>
    <mergeCell ref="B44:D44"/>
    <mergeCell ref="B25:D25"/>
    <mergeCell ref="B26:D26"/>
    <mergeCell ref="B27:D27"/>
    <mergeCell ref="B24:D24"/>
    <mergeCell ref="B28:D28"/>
    <mergeCell ref="B29:D29"/>
    <mergeCell ref="B30:D30"/>
    <mergeCell ref="B31:D31"/>
    <mergeCell ref="B67:D67"/>
    <mergeCell ref="B48:D48"/>
    <mergeCell ref="B49:D49"/>
    <mergeCell ref="B56:D56"/>
    <mergeCell ref="B57:D57"/>
    <mergeCell ref="B58:D58"/>
    <mergeCell ref="B61:D61"/>
    <mergeCell ref="B62:D62"/>
    <mergeCell ref="B65:D65"/>
    <mergeCell ref="B66:D66"/>
  </mergeCells>
  <conditionalFormatting sqref="G13">
    <cfRule type="expression" dxfId="50" priority="16">
      <formula>"$B$18=Blad3!$B$4"</formula>
    </cfRule>
  </conditionalFormatting>
  <conditionalFormatting sqref="G15">
    <cfRule type="expression" dxfId="49" priority="13">
      <formula>"$B$20=Blad3!$B$4"</formula>
    </cfRule>
  </conditionalFormatting>
  <conditionalFormatting sqref="S12">
    <cfRule type="expression" dxfId="48" priority="4">
      <formula>"$B$18=Blad3!$B$4"</formula>
    </cfRule>
  </conditionalFormatting>
  <conditionalFormatting sqref="S14">
    <cfRule type="expression" dxfId="47" priority="1">
      <formula>"$B$20=Blad3!$B$4"</formula>
    </cfRule>
  </conditionalFormatting>
  <dataValidations xWindow="416" yWindow="251" count="1">
    <dataValidation allowBlank="1" showInputMessage="1" showErrorMessage="1" prompt="Volwassen gewicht 600-700 kg _x000a_Bijv. (Red)-Holstein Friesian, FH, MRIJ, Brown Swiss, Fleckvieh, Montbeliare" sqref="B3:B5"/>
  </dataValidations>
  <pageMargins left="0.7" right="0.7" top="0.75" bottom="0.75" header="0.3" footer="0.3"/>
  <pageSetup paperSize="9" orientation="portrait"/>
  <ignoredErrors>
    <ignoredError sqref="B24:J31 B43:J44 B49:J53 B56:F56 B66:J71 B47:F47 B48:F48 B58:J62 B57:F57 B65:F65 B35:D35 B36 B37:D42 E35:E42 G35:J4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E275D0EE-A797-41E6-8242-B49625122F6C}">
            <xm:f>$C$13=LIJSTJES!$B$5</xm:f>
            <x14:dxf>
              <font>
                <color theme="0"/>
              </font>
            </x14:dxf>
          </x14:cfRule>
          <xm:sqref>F13</xm:sqref>
        </x14:conditionalFormatting>
        <x14:conditionalFormatting xmlns:xm="http://schemas.microsoft.com/office/excel/2006/main">
          <x14:cfRule type="expression" priority="17" id="{3057E91C-A9D0-4A77-B5E3-FF5E4988790E}">
            <xm:f>$C$13=LIJSTJES!$B$5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G13:H13</xm:sqref>
        </x14:conditionalFormatting>
        <x14:conditionalFormatting xmlns:xm="http://schemas.microsoft.com/office/excel/2006/main">
          <x14:cfRule type="expression" priority="15" id="{ECA9A64B-684C-4FFD-9D70-491237526DEF}">
            <xm:f>$C$15=LIJSTJES!$B$5</xm:f>
            <x14:dxf>
              <font>
                <color theme="0"/>
              </font>
            </x14:dxf>
          </x14:cfRule>
          <xm:sqref>F15</xm:sqref>
        </x14:conditionalFormatting>
        <x14:conditionalFormatting xmlns:xm="http://schemas.microsoft.com/office/excel/2006/main">
          <x14:cfRule type="expression" priority="14" id="{8219CB16-0F16-4A8F-AFA7-C2744FE0A914}">
            <xm:f>$C$15=LIJSTJES!$B$5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G15:H15</xm:sqref>
        </x14:conditionalFormatting>
        <x14:conditionalFormatting xmlns:xm="http://schemas.microsoft.com/office/excel/2006/main">
          <x14:cfRule type="expression" priority="6" id="{E7EE15D4-782A-4691-BAC3-46FF451DA9A6}">
            <xm:f>$C$13=LIJSTJES!$B$5</xm:f>
            <x14:dxf>
              <font>
                <color theme="0"/>
              </font>
            </x14:dxf>
          </x14:cfRule>
          <xm:sqref>R12</xm:sqref>
        </x14:conditionalFormatting>
        <x14:conditionalFormatting xmlns:xm="http://schemas.microsoft.com/office/excel/2006/main">
          <x14:cfRule type="expression" priority="5" id="{9044FFEB-90DF-4954-B5C8-7D242E0A123C}">
            <xm:f>$C$13=LIJSTJES!$B$5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3" id="{D127B3B1-0088-448E-98C6-ADBE7AC92889}">
            <xm:f>$C$15=LIJSTJES!$B$5</xm:f>
            <x14:dxf>
              <font>
                <color theme="0"/>
              </font>
            </x14:dxf>
          </x14:cfRule>
          <xm:sqref>R14</xm:sqref>
        </x14:conditionalFormatting>
        <x14:conditionalFormatting xmlns:xm="http://schemas.microsoft.com/office/excel/2006/main">
          <x14:cfRule type="expression" priority="2" id="{89EC87DE-718F-4E1F-9706-FD5D1485D856}">
            <xm:f>$C$15=LIJSTJES!$B$5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S14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16" yWindow="251" count="5">
        <x14:dataValidation type="list" allowBlank="1" showInputMessage="1" showErrorMessage="1" prompt="Klik op het pijltje cel voor keuzelijst">
          <x14:formula1>
            <xm:f>LIJSTJES!$B$2:$B$7</xm:f>
          </x14:formula1>
          <xm:sqref>C15 C13 O14 O12</xm:sqref>
        </x14:dataValidation>
        <x14:dataValidation type="list" allowBlank="1" showInputMessage="1" showErrorMessage="1">
          <x14:formula1>
            <xm:f>LIJSTJES!$G$2:$G$3</xm:f>
          </x14:formula1>
          <xm:sqref>F32:F33</xm:sqref>
        </x14:dataValidation>
        <x14:dataValidation type="list" allowBlank="1" showInputMessage="1" showErrorMessage="1" prompt="Klik op het pijltje voor een keuzelijst">
          <x14:formula1>
            <xm:f>LIJSTJES!$G$7:$G$8</xm:f>
          </x14:formula1>
          <xm:sqref>N47:N53 N56:N62 N65:N71</xm:sqref>
        </x14:dataValidation>
        <x14:dataValidation type="list" allowBlank="1" showInputMessage="1" showErrorMessage="1" prompt="Klik op het pijltje voor een keuzelijst">
          <x14:formula1>
            <xm:f>LIJSTJES!$G$2:$G$3</xm:f>
          </x14:formula1>
          <xm:sqref>F65:F71 F47:F53 F56:F62 F35:F44</xm:sqref>
        </x14:dataValidation>
        <x14:dataValidation type="list" allowBlank="1" showInputMessage="1" showErrorMessage="1" prompt="Klik op het pijltje voor een keuze lijst">
          <x14:formula1>
            <xm:f>LIJSTJES!$G$2:$G$3</xm:f>
          </x14:formula1>
          <xm:sqref>F47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8"/>
  <sheetViews>
    <sheetView topLeftCell="A82" workbookViewId="0">
      <selection activeCell="E112" sqref="E112"/>
    </sheetView>
  </sheetViews>
  <sheetFormatPr defaultColWidth="9.140625" defaultRowHeight="15" x14ac:dyDescent="0.25"/>
  <cols>
    <col min="1" max="1" width="3.5703125" style="212" customWidth="1"/>
    <col min="2" max="2" width="53.28515625" style="212" bestFit="1" customWidth="1"/>
    <col min="3" max="3" width="11.7109375" style="212" customWidth="1"/>
    <col min="4" max="4" width="13" style="212" customWidth="1"/>
    <col min="5" max="5" width="19.5703125" style="212" customWidth="1"/>
    <col min="6" max="6" width="16" style="212" customWidth="1"/>
    <col min="7" max="7" width="11.5703125" style="212" customWidth="1"/>
    <col min="8" max="8" width="13.7109375" style="212" bestFit="1" customWidth="1"/>
    <col min="9" max="9" width="15.28515625" style="212" customWidth="1"/>
    <col min="10" max="10" width="9.140625" style="212"/>
    <col min="11" max="11" width="12.28515625" style="212" customWidth="1"/>
    <col min="12" max="12" width="11.28515625" style="212" customWidth="1"/>
    <col min="13" max="13" width="13.5703125" style="212" bestFit="1" customWidth="1"/>
    <col min="14" max="16384" width="9.140625" style="212"/>
  </cols>
  <sheetData>
    <row r="3" spans="2:11" x14ac:dyDescent="0.25">
      <c r="B3" s="14"/>
      <c r="C3" s="14" t="s">
        <v>10</v>
      </c>
      <c r="D3" s="15"/>
      <c r="E3" s="14" t="s">
        <v>11</v>
      </c>
      <c r="F3" s="15"/>
      <c r="G3" s="14" t="s">
        <v>12</v>
      </c>
      <c r="H3" s="16"/>
    </row>
    <row r="4" spans="2:11" x14ac:dyDescent="0.25">
      <c r="B4" s="10" t="s">
        <v>21</v>
      </c>
      <c r="C4" s="17" t="s">
        <v>8</v>
      </c>
      <c r="D4" s="11" t="s">
        <v>9</v>
      </c>
      <c r="E4" s="17" t="s">
        <v>8</v>
      </c>
      <c r="F4" s="12" t="s">
        <v>9</v>
      </c>
      <c r="G4" s="17" t="s">
        <v>8</v>
      </c>
      <c r="H4" s="13" t="s">
        <v>9</v>
      </c>
      <c r="J4" s="26"/>
    </row>
    <row r="5" spans="2:11" x14ac:dyDescent="0.25">
      <c r="B5" s="3" t="s">
        <v>7</v>
      </c>
      <c r="C5" s="18">
        <f xml:space="preserve"> (42.4 * 600^0.75 *(1 + ((ACHTER_INVOER!B8/ACHTER_INVOER!B7*(0.337+0.116*ACHTER_INVOER!B9+ACHTER_INVOER!B10*0.06))/307 - 15) *0.00165))* 307 / 1000</f>
        <v>1605.3949862531513</v>
      </c>
      <c r="D5" s="28">
        <f>C5*ACHTER_INVOER!B$7</f>
        <v>160539.49862531511</v>
      </c>
      <c r="E5" s="18">
        <f xml:space="preserve"> (42.4 *500^0.75 *(1 + ((ACHTER_INVOER!B8/ACHTER_INVOER!B7*(0.337+0.116*ACHTER_INVOER!B9+ACHTER_INVOER!B10*0.06))/307 - 15) *0.00165))* 307 / 1000</f>
        <v>1400.2190043470462</v>
      </c>
      <c r="F5" s="5">
        <f>E5*ACHTER_INVOER!B$7</f>
        <v>140021.90043470461</v>
      </c>
      <c r="G5" s="18">
        <f xml:space="preserve"> (42.4 * 400^0.75 *(1 + ((ACHTER_INVOER!B8/ACHTER_INVOER!B7*(0.337+0.116*ACHTER_INVOER!B9+ACHTER_INVOER!B10*0.06))/307 - 15) *0.00165))* 307 / 1000</f>
        <v>1184.4410701759398</v>
      </c>
      <c r="H5" s="33">
        <f>G5*ACHTER_INVOER!B$7</f>
        <v>118444.10701759398</v>
      </c>
      <c r="J5" s="28">
        <v>161112.09940074879</v>
      </c>
      <c r="K5" s="102">
        <f>J5/D5</f>
        <v>1.0035667283150675</v>
      </c>
    </row>
    <row r="6" spans="2:11" x14ac:dyDescent="0.25">
      <c r="B6" s="3" t="s">
        <v>13</v>
      </c>
      <c r="C6" s="18">
        <f>(42.4*600^0.75*(1+(-15*0.00165))*58/1000)</f>
        <v>290.75235892833035</v>
      </c>
      <c r="D6" s="28">
        <f>C6*ACHTER_INVOER!B$7</f>
        <v>29075.235892833036</v>
      </c>
      <c r="E6" s="18">
        <f>(42.4*500^0.75*(1+(-15*0.00165))*58/1000)</f>
        <v>253.59302976294728</v>
      </c>
      <c r="F6" s="31">
        <f>E6*ACHTER_INVOER!B$7</f>
        <v>25359.30297629473</v>
      </c>
      <c r="G6" s="4">
        <f>(42.4*400^0.75*(1+(-15*0.00165))*58/1000)</f>
        <v>214.51358582413451</v>
      </c>
      <c r="H6" s="6">
        <f>G6*ACHTER_INVOER!B$7</f>
        <v>21451.35858241345</v>
      </c>
      <c r="J6" s="28">
        <v>29075.235892833036</v>
      </c>
      <c r="K6" s="102">
        <f t="shared" ref="K6:K22" si="0">J6/D6</f>
        <v>1</v>
      </c>
    </row>
    <row r="7" spans="2:11" x14ac:dyDescent="0.25">
      <c r="B7" s="3" t="s">
        <v>14</v>
      </c>
      <c r="C7" s="18">
        <f>(442*(ACHTER_INVOER!B8/ACHTER_INVOER!B7*(0.337+0.116*ACHTER_INVOER!B9+0.06*ACHTER_INVOER!B10)/307)*(1+((ACHTER_INVOER!B8/ACHTER_INVOER!B7*(0.337+0.116*ACHTER_INVOER!B9+0.06*ACHTER_INVOER!B10)/307)-15)*0.00165))*307/1000</f>
        <v>3521.0664476720399</v>
      </c>
      <c r="D7" s="28">
        <f>C7*ACHTER_INVOER!$B$7</f>
        <v>352106.64476720401</v>
      </c>
      <c r="E7" s="18">
        <f>C7</f>
        <v>3521.0664476720399</v>
      </c>
      <c r="F7" s="31">
        <f>E7*ACHTER_INVOER!$B$7</f>
        <v>352106.64476720401</v>
      </c>
      <c r="G7" s="4">
        <f>C7</f>
        <v>3521.0664476720399</v>
      </c>
      <c r="H7" s="6">
        <f>G7*ACHTER_INVOER!$B$7</f>
        <v>352106.64476720401</v>
      </c>
      <c r="J7" s="28">
        <v>383828.93524183962</v>
      </c>
      <c r="K7" s="102">
        <f t="shared" si="0"/>
        <v>1.0900928481358505</v>
      </c>
    </row>
    <row r="8" spans="2:11" x14ac:dyDescent="0.25">
      <c r="B8" s="3" t="s">
        <v>15</v>
      </c>
      <c r="C8" s="3">
        <v>194</v>
      </c>
      <c r="D8" s="29">
        <f>C8*ACHTER_INVOER!B$7</f>
        <v>19400</v>
      </c>
      <c r="E8" s="3">
        <v>165</v>
      </c>
      <c r="F8" s="31">
        <f>E8*ACHTER_INVOER!B$7</f>
        <v>16500</v>
      </c>
      <c r="G8" s="7">
        <v>136</v>
      </c>
      <c r="H8" s="6">
        <f>G8*ACHTER_INVOER!B$7</f>
        <v>13600</v>
      </c>
      <c r="J8" s="29">
        <v>19400</v>
      </c>
      <c r="K8" s="102">
        <f t="shared" si="0"/>
        <v>1</v>
      </c>
    </row>
    <row r="9" spans="2:11" x14ac:dyDescent="0.25">
      <c r="B9" s="3" t="s">
        <v>16</v>
      </c>
      <c r="C9" s="3">
        <v>189</v>
      </c>
      <c r="D9" s="29">
        <f>C9*ACHTER_INVOER!$B$7</f>
        <v>18900</v>
      </c>
      <c r="E9" s="3">
        <v>189</v>
      </c>
      <c r="F9" s="31">
        <f>E9*ACHTER_INVOER!$B$7</f>
        <v>18900</v>
      </c>
      <c r="G9" s="7">
        <v>189</v>
      </c>
      <c r="H9" s="6">
        <f>G9*ACHTER_INVOER!$B$7</f>
        <v>18900</v>
      </c>
      <c r="J9" s="29">
        <v>18900</v>
      </c>
      <c r="K9" s="102">
        <f t="shared" si="0"/>
        <v>1</v>
      </c>
    </row>
    <row r="10" spans="2:11" x14ac:dyDescent="0.25">
      <c r="B10" s="3" t="s">
        <v>18</v>
      </c>
      <c r="C10" s="3">
        <v>16</v>
      </c>
      <c r="D10" s="29">
        <f>IF(INVOERPAGINA!B29=LIJSTJES!B2,BEREKENING!C10*INVOERPAGINA!F29,0)*ACHTER_INVOER!B7</f>
        <v>0</v>
      </c>
      <c r="E10" s="3">
        <v>16</v>
      </c>
      <c r="F10" s="31">
        <f>IF(INVOERPAGINA!B29=LIJSTJES!B2,BEREKENING!C10*INVOERPAGINA!F29,0)*ACHTER_INVOER!B7</f>
        <v>0</v>
      </c>
      <c r="G10" s="7">
        <v>16</v>
      </c>
      <c r="H10" s="6">
        <f>IF(INVOERPAGINA!B29=LIJSTJES!B2,BEREKENING!C10*INVOERPAGINA!F29,0)*ACHTER_INVOER!B7</f>
        <v>0</v>
      </c>
      <c r="J10" s="29">
        <v>8800</v>
      </c>
      <c r="K10" s="102" t="e">
        <f t="shared" si="0"/>
        <v>#DIV/0!</v>
      </c>
    </row>
    <row r="11" spans="2:11" x14ac:dyDescent="0.25">
      <c r="B11" s="3" t="s">
        <v>17</v>
      </c>
      <c r="C11" s="3">
        <v>12</v>
      </c>
      <c r="D11" s="29">
        <f>IF(INVOERPAGINA!B29=LIJSTJES!B3,BEREKENING!C11*INVOERPAGINA!F29,IF(INVOERPAGINA!B29=LIJSTJES!B4,BEREKENING!C11*INVOERPAGINA!F29,0)*ACHTER_INVOER!B7)</f>
        <v>66</v>
      </c>
      <c r="E11" s="3">
        <v>12</v>
      </c>
      <c r="F11" s="31">
        <f>IF(INVOERPAGINA!B29=LIJSTJES!B3,BEREKENING!C11*INVOERPAGINA!F29,IF(INVOERPAGINA!B29=LIJSTJES!B4,BEREKENING!C11*INVOERPAGINA!F29,0)*ACHTER_INVOER!B7)</f>
        <v>66</v>
      </c>
      <c r="G11" s="7">
        <v>12</v>
      </c>
      <c r="H11" s="6">
        <f>IF(INVOERPAGINA!B29=LIJSTJES!B3,BEREKENING!C11*INVOERPAGINA!F29,IF(INVOERPAGINA!B29=LIJSTJES!B4,BEREKENING!C11*INVOERPAGINA!F29,0)*ACHTER_INVOER!B7)</f>
        <v>66</v>
      </c>
      <c r="J11" s="29">
        <v>0</v>
      </c>
      <c r="K11" s="102"/>
    </row>
    <row r="12" spans="2:11" x14ac:dyDescent="0.25">
      <c r="B12" s="3" t="s">
        <v>31</v>
      </c>
      <c r="C12" s="18">
        <v>131</v>
      </c>
      <c r="D12" s="28">
        <f>C12*ACHTER_INVOER!$B$7</f>
        <v>13100</v>
      </c>
      <c r="E12" s="18">
        <v>111</v>
      </c>
      <c r="F12" s="31">
        <f>E12*ACHTER_INVOER!$B$7</f>
        <v>11100</v>
      </c>
      <c r="G12" s="4">
        <v>91</v>
      </c>
      <c r="H12" s="6">
        <f>G12*ACHTER_INVOER!$B$7</f>
        <v>9100</v>
      </c>
      <c r="J12" s="28">
        <v>13100</v>
      </c>
      <c r="K12" s="102">
        <f t="shared" si="0"/>
        <v>1</v>
      </c>
    </row>
    <row r="13" spans="2:11" ht="15.75" thickBot="1" x14ac:dyDescent="0.3">
      <c r="B13" s="35" t="s">
        <v>32</v>
      </c>
      <c r="C13" s="36">
        <f>(660+330)*365*$C$33/1000</f>
        <v>130.989375</v>
      </c>
      <c r="D13" s="37">
        <f>C13*ACHTER_INVOER!$B$7</f>
        <v>13098.9375</v>
      </c>
      <c r="E13" s="36">
        <f>(560+280)*365*$C$33/1000</f>
        <v>111.1425</v>
      </c>
      <c r="F13" s="38">
        <f>E13*ACHTER_INVOER!B$7</f>
        <v>11114.25</v>
      </c>
      <c r="G13" s="39">
        <f>(460+230)*365*$C$33/1000</f>
        <v>91.295625000000001</v>
      </c>
      <c r="H13" s="40">
        <f>G13*ACHTER_INVOER!B$7</f>
        <v>9129.5625</v>
      </c>
      <c r="I13" s="41"/>
      <c r="J13" s="37">
        <v>13098.9375</v>
      </c>
      <c r="K13" s="102">
        <f t="shared" si="0"/>
        <v>1</v>
      </c>
    </row>
    <row r="14" spans="2:11" x14ac:dyDescent="0.25">
      <c r="B14" s="42" t="s">
        <v>33</v>
      </c>
      <c r="C14" s="43"/>
      <c r="D14" s="44">
        <f>SUM(D5:D12)</f>
        <v>593187.37928535219</v>
      </c>
      <c r="E14" s="43"/>
      <c r="F14" s="45">
        <f>SUM(F5:F12)</f>
        <v>564053.84817820333</v>
      </c>
      <c r="G14" s="46"/>
      <c r="H14" s="47">
        <f>SUM(H5:H12)</f>
        <v>533668.11036721151</v>
      </c>
      <c r="J14" s="44">
        <v>634216.27053542144</v>
      </c>
      <c r="K14" s="102">
        <f t="shared" si="0"/>
        <v>1.0691668310601941</v>
      </c>
    </row>
    <row r="15" spans="2:11" ht="15.75" thickBot="1" x14ac:dyDescent="0.3">
      <c r="B15" s="48" t="s">
        <v>33</v>
      </c>
      <c r="C15" s="49"/>
      <c r="D15" s="50">
        <f>SUM(D5:D11,D13)</f>
        <v>593186.31678535219</v>
      </c>
      <c r="E15" s="49"/>
      <c r="F15" s="51">
        <f>SUM(F5:F11,F13)</f>
        <v>564068.09817820333</v>
      </c>
      <c r="G15" s="52"/>
      <c r="H15" s="53">
        <f>SUM(H5:H11,H13)</f>
        <v>533697.67286721151</v>
      </c>
      <c r="I15" s="41"/>
      <c r="J15" s="50">
        <v>634215.20803542144</v>
      </c>
      <c r="K15" s="102">
        <f t="shared" si="0"/>
        <v>1.0691669549500344</v>
      </c>
    </row>
    <row r="16" spans="2:11" x14ac:dyDescent="0.25">
      <c r="B16" s="3" t="s">
        <v>22</v>
      </c>
      <c r="C16" s="3"/>
      <c r="D16" s="29"/>
      <c r="E16" s="3"/>
      <c r="F16" s="31"/>
      <c r="G16" s="7"/>
      <c r="H16" s="6"/>
      <c r="J16" s="29"/>
      <c r="K16" s="102"/>
    </row>
    <row r="17" spans="2:11" x14ac:dyDescent="0.25">
      <c r="B17" s="3" t="s">
        <v>19</v>
      </c>
      <c r="C17" s="18">
        <f>1412</f>
        <v>1412</v>
      </c>
      <c r="D17" s="29">
        <f>C17*ACHTER_INVOER!$B$13</f>
        <v>56480</v>
      </c>
      <c r="E17" s="3">
        <v>1200</v>
      </c>
      <c r="F17" s="31">
        <f>E17*ACHTER_INVOER!$B$13</f>
        <v>48000</v>
      </c>
      <c r="G17" s="7">
        <v>988</v>
      </c>
      <c r="H17" s="6">
        <f>G17*ACHTER_INVOER!$B$13</f>
        <v>39520</v>
      </c>
      <c r="J17" s="29">
        <v>56480</v>
      </c>
      <c r="K17" s="102">
        <f t="shared" si="0"/>
        <v>1</v>
      </c>
    </row>
    <row r="18" spans="2:11" ht="15.75" thickBot="1" x14ac:dyDescent="0.3">
      <c r="B18" s="3" t="s">
        <v>20</v>
      </c>
      <c r="C18" s="3">
        <v>2600</v>
      </c>
      <c r="D18" s="29">
        <f>C18*ACHTER_INVOER!$B$15</f>
        <v>84500</v>
      </c>
      <c r="E18" s="3">
        <v>2210</v>
      </c>
      <c r="F18" s="32">
        <f>E18*ACHTER_INVOER!$B$15</f>
        <v>71825</v>
      </c>
      <c r="G18" s="7">
        <v>1820</v>
      </c>
      <c r="H18" s="34">
        <f>G18*ACHTER_INVOER!$B$15</f>
        <v>59150</v>
      </c>
      <c r="J18" s="29">
        <v>83200</v>
      </c>
      <c r="K18" s="102">
        <f t="shared" si="0"/>
        <v>0.98461538461538467</v>
      </c>
    </row>
    <row r="19" spans="2:11" ht="15.75" thickBot="1" x14ac:dyDescent="0.3">
      <c r="B19" s="2" t="s">
        <v>23</v>
      </c>
      <c r="C19" s="19"/>
      <c r="D19" s="30">
        <f>SUM(D17:D18)</f>
        <v>140980</v>
      </c>
      <c r="E19" s="19"/>
      <c r="F19" s="8">
        <f>SUM(F17:F18)</f>
        <v>119825</v>
      </c>
      <c r="G19" s="19"/>
      <c r="H19" s="9">
        <f>SUM(H17:H18)</f>
        <v>98670</v>
      </c>
      <c r="J19" s="30">
        <v>139680</v>
      </c>
      <c r="K19" s="102">
        <f t="shared" si="0"/>
        <v>0.99077883387714571</v>
      </c>
    </row>
    <row r="20" spans="2:11" x14ac:dyDescent="0.25">
      <c r="B20" s="21" t="s">
        <v>24</v>
      </c>
      <c r="C20" s="18"/>
      <c r="D20" s="28">
        <f>SUM(D14,D19)</f>
        <v>734167.37928535219</v>
      </c>
      <c r="E20" s="3"/>
      <c r="F20" s="5">
        <f>SUM(F14,F19)</f>
        <v>683878.84817820333</v>
      </c>
      <c r="G20" s="3"/>
      <c r="H20" s="6">
        <f>SUM(H14,H19)</f>
        <v>632338.11036721151</v>
      </c>
      <c r="J20" s="28">
        <v>773896.27053542144</v>
      </c>
      <c r="K20" s="102">
        <f t="shared" si="0"/>
        <v>1.0541142147840208</v>
      </c>
    </row>
    <row r="21" spans="2:11" ht="15.75" thickBot="1" x14ac:dyDescent="0.3">
      <c r="B21" s="26"/>
      <c r="C21" s="18"/>
      <c r="D21" s="28"/>
      <c r="E21" s="3"/>
      <c r="F21" s="5"/>
      <c r="G21" s="3"/>
      <c r="H21" s="27"/>
      <c r="J21" s="28"/>
      <c r="K21" s="102"/>
    </row>
    <row r="22" spans="2:11" thickBot="1" x14ac:dyDescent="0.35">
      <c r="B22" s="22" t="s">
        <v>25</v>
      </c>
      <c r="C22" s="19"/>
      <c r="D22" s="30">
        <f>SUM(D14,D19)*1.02</f>
        <v>748850.72687105928</v>
      </c>
      <c r="E22" s="20"/>
      <c r="F22" s="8">
        <f>SUM(F14,F19)*1.02</f>
        <v>697556.42514176737</v>
      </c>
      <c r="G22" s="20"/>
      <c r="H22" s="9">
        <f>SUM(H14,H19)*1.02</f>
        <v>644984.8725745558</v>
      </c>
      <c r="J22" s="30">
        <v>789374.19594612985</v>
      </c>
      <c r="K22" s="102">
        <f t="shared" si="0"/>
        <v>1.0541142147840208</v>
      </c>
    </row>
    <row r="23" spans="2:11" ht="14.45" x14ac:dyDescent="0.3">
      <c r="J23" s="26"/>
    </row>
    <row r="24" spans="2:11" ht="14.45" x14ac:dyDescent="0.3">
      <c r="B24" s="67" t="s">
        <v>61</v>
      </c>
      <c r="C24" s="71"/>
      <c r="E24" s="213">
        <v>789374.19594612985</v>
      </c>
      <c r="J24" s="26"/>
    </row>
    <row r="25" spans="2:11" ht="14.45" x14ac:dyDescent="0.3">
      <c r="B25" s="65" t="s">
        <v>58</v>
      </c>
      <c r="C25" s="69">
        <v>600</v>
      </c>
    </row>
    <row r="26" spans="2:11" ht="14.45" x14ac:dyDescent="0.3">
      <c r="B26" s="65" t="s">
        <v>59</v>
      </c>
      <c r="C26" s="69">
        <v>500</v>
      </c>
    </row>
    <row r="27" spans="2:11" ht="14.45" x14ac:dyDescent="0.3">
      <c r="B27" s="65" t="s">
        <v>60</v>
      </c>
      <c r="C27" s="69">
        <v>400</v>
      </c>
    </row>
    <row r="28" spans="2:11" ht="14.45" x14ac:dyDescent="0.3">
      <c r="B28" s="65" t="s">
        <v>53</v>
      </c>
      <c r="C28" s="69">
        <v>1</v>
      </c>
    </row>
    <row r="29" spans="2:11" ht="14.45" x14ac:dyDescent="0.3">
      <c r="B29" s="65" t="s">
        <v>54</v>
      </c>
      <c r="C29" s="72">
        <f>44/600</f>
        <v>7.3333333333333334E-2</v>
      </c>
    </row>
    <row r="30" spans="2:11" ht="14.45" x14ac:dyDescent="0.3">
      <c r="B30" s="65" t="s">
        <v>55</v>
      </c>
      <c r="C30" s="72">
        <f>320/600</f>
        <v>0.53333333333333333</v>
      </c>
    </row>
    <row r="31" spans="2:11" ht="14.45" x14ac:dyDescent="0.3">
      <c r="B31" s="65" t="s">
        <v>56</v>
      </c>
      <c r="C31" s="72">
        <f>530/600</f>
        <v>0.8833333333333333</v>
      </c>
    </row>
    <row r="32" spans="2:11" ht="14.45" x14ac:dyDescent="0.3">
      <c r="B32" s="65" t="s">
        <v>28</v>
      </c>
      <c r="C32" s="69">
        <v>0.65</v>
      </c>
    </row>
    <row r="33" spans="2:8" ht="14.45" x14ac:dyDescent="0.3">
      <c r="B33" s="65" t="s">
        <v>27</v>
      </c>
      <c r="C33" s="69">
        <v>0.36249999999999999</v>
      </c>
    </row>
    <row r="34" spans="2:8" ht="14.45" x14ac:dyDescent="0.3">
      <c r="B34" s="66" t="s">
        <v>29</v>
      </c>
      <c r="C34" s="70">
        <v>0.63</v>
      </c>
    </row>
    <row r="36" spans="2:8" ht="14.45" x14ac:dyDescent="0.3">
      <c r="B36" s="67" t="s">
        <v>50</v>
      </c>
      <c r="C36" s="68" t="s">
        <v>48</v>
      </c>
      <c r="D36" s="68" t="s">
        <v>49</v>
      </c>
      <c r="E36" s="212" t="s">
        <v>210</v>
      </c>
      <c r="F36" s="212" t="s">
        <v>211</v>
      </c>
    </row>
    <row r="37" spans="2:8" ht="14.45" x14ac:dyDescent="0.3">
      <c r="B37" s="65" t="s">
        <v>36</v>
      </c>
      <c r="C37" s="80">
        <f>6.38</f>
        <v>6.38</v>
      </c>
      <c r="D37" s="81">
        <v>0.97</v>
      </c>
    </row>
    <row r="38" spans="2:8" ht="14.45" x14ac:dyDescent="0.3">
      <c r="B38" s="65" t="s">
        <v>44</v>
      </c>
      <c r="C38" s="69">
        <v>29.4</v>
      </c>
      <c r="D38" s="82">
        <v>8</v>
      </c>
      <c r="E38" s="212">
        <f>1.2+(4.635*C25^0.22*C25^-0.22)</f>
        <v>5.835</v>
      </c>
    </row>
    <row r="39" spans="2:8" ht="14.45" x14ac:dyDescent="0.3">
      <c r="B39" s="65" t="s">
        <v>45</v>
      </c>
      <c r="C39" s="69">
        <v>24.1</v>
      </c>
      <c r="D39" s="69">
        <v>7.4</v>
      </c>
    </row>
    <row r="40" spans="2:8" ht="14.45" x14ac:dyDescent="0.3">
      <c r="B40" s="65" t="s">
        <v>46</v>
      </c>
      <c r="C40" s="69">
        <v>23.1</v>
      </c>
      <c r="D40" s="69">
        <v>7.4</v>
      </c>
    </row>
    <row r="41" spans="2:8" ht="14.45" x14ac:dyDescent="0.3">
      <c r="B41" s="66" t="s">
        <v>47</v>
      </c>
      <c r="C41" s="70">
        <v>22.5</v>
      </c>
      <c r="D41" s="70">
        <v>7.4</v>
      </c>
    </row>
    <row r="43" spans="2:8" ht="14.45" x14ac:dyDescent="0.3">
      <c r="C43" s="14" t="s">
        <v>57</v>
      </c>
      <c r="D43" s="15"/>
      <c r="E43" s="14" t="s">
        <v>11</v>
      </c>
      <c r="F43" s="15"/>
      <c r="G43" s="14" t="s">
        <v>12</v>
      </c>
      <c r="H43" s="16"/>
    </row>
    <row r="44" spans="2:8" ht="14.45" x14ac:dyDescent="0.3">
      <c r="B44" s="55" t="s">
        <v>51</v>
      </c>
      <c r="C44" s="61" t="s">
        <v>34</v>
      </c>
      <c r="D44" s="57" t="s">
        <v>35</v>
      </c>
      <c r="E44" s="61" t="s">
        <v>34</v>
      </c>
      <c r="F44" s="57" t="s">
        <v>35</v>
      </c>
      <c r="G44" s="61" t="s">
        <v>34</v>
      </c>
      <c r="H44" s="57" t="s">
        <v>35</v>
      </c>
    </row>
    <row r="45" spans="2:8" ht="14.45" x14ac:dyDescent="0.3">
      <c r="B45" s="55" t="s">
        <v>40</v>
      </c>
      <c r="C45" s="63">
        <f>(BEREKENING!C$25*$C$29*$C$38)/1000</f>
        <v>1.2935999999999999</v>
      </c>
      <c r="D45" s="64">
        <f>(BEREKENING!$C$25*$C$29*$D$38)/1000</f>
        <v>0.35199999999999998</v>
      </c>
      <c r="E45" s="63">
        <f>(BEREKENING!C$26*$C$29*$C$38)/1000</f>
        <v>1.0779999999999998</v>
      </c>
      <c r="F45" s="64">
        <f>(BEREKENING!$C$26*$C$29*$D$38)/1000</f>
        <v>0.29333333333333333</v>
      </c>
      <c r="G45" s="63">
        <f>(BEREKENING!C$27*$C$29*$C$38)/1000</f>
        <v>0.86239999999999994</v>
      </c>
      <c r="H45" s="64">
        <f>(BEREKENING!$C$27*$C$29*$D$38)/1000</f>
        <v>0.23466666666666666</v>
      </c>
    </row>
    <row r="46" spans="2:8" ht="14.45" x14ac:dyDescent="0.3">
      <c r="B46" s="3" t="s">
        <v>41</v>
      </c>
      <c r="C46" s="25">
        <f>(BEREKENING!C$25*$C$30*$C$39)/1000</f>
        <v>7.7119999999999997</v>
      </c>
      <c r="D46" s="62">
        <f>(BEREKENING!C$25*$C$30*$D$39)/1000</f>
        <v>2.3679999999999999</v>
      </c>
      <c r="E46" s="25">
        <f>(BEREKENING!C$26*$C$30*$C$39)/1000</f>
        <v>6.4266666666666676</v>
      </c>
      <c r="F46" s="62">
        <f>(BEREKENING!C$26*$C$30*$D$39)/1000</f>
        <v>1.9733333333333334</v>
      </c>
      <c r="G46" s="25">
        <f>(BEREKENING!C$27*$C$30*$C$39)/1000</f>
        <v>5.1413333333333338</v>
      </c>
      <c r="H46" s="62">
        <f>(BEREKENING!C$27*$C$30*$D$39)/1000</f>
        <v>1.5786666666666667</v>
      </c>
    </row>
    <row r="47" spans="2:8" ht="14.45" x14ac:dyDescent="0.3">
      <c r="B47" s="3" t="s">
        <v>42</v>
      </c>
      <c r="C47" s="25">
        <f>($C$29*BEREKENING!C$25*$C$34*$C$38)/1000</f>
        <v>0.81496799999999991</v>
      </c>
      <c r="D47" s="62">
        <f>($C$29*BEREKENING!C$25*$C$34*$D$38)/1000</f>
        <v>0.22175999999999998</v>
      </c>
      <c r="E47" s="25">
        <f>($C$29*BEREKENING!C$26*$C$34*$C$38)/1000</f>
        <v>0.67913999999999985</v>
      </c>
      <c r="F47" s="62">
        <f>($C$29*BEREKENING!C$26*$C$34*$D$38)/1000</f>
        <v>0.18479999999999999</v>
      </c>
      <c r="G47" s="25">
        <f>($C$29*BEREKENING!C$27*$C$34*$C$38)/1000</f>
        <v>0.54331200000000002</v>
      </c>
      <c r="H47" s="62">
        <f>($C$29*BEREKENING!C$27*$C$34*$D$38)/1000</f>
        <v>0.14784</v>
      </c>
    </row>
    <row r="48" spans="2:8" ht="14.45" x14ac:dyDescent="0.3">
      <c r="B48" s="24" t="s">
        <v>43</v>
      </c>
      <c r="C48" s="60">
        <f>($C$31*BEREKENING!$C$25*$C$40)/1000</f>
        <v>12.243</v>
      </c>
      <c r="D48" s="59">
        <f>($C$31*BEREKENING!$C$25*$D$40)/1000</f>
        <v>3.9220000000000002</v>
      </c>
      <c r="E48" s="60">
        <f>($C$31*BEREKENING!$C$26*$C$40)/1000</f>
        <v>10.202500000000001</v>
      </c>
      <c r="F48" s="59">
        <f>($C$31*BEREKENING!$C$26*$D$40)/1000</f>
        <v>3.2683333333333331</v>
      </c>
      <c r="G48" s="60">
        <f>($C$31*BEREKENING!$C$27*$C$40)/1000</f>
        <v>8.1620000000000008</v>
      </c>
      <c r="H48" s="59">
        <f>($C$31*BEREKENING!$C$27*$D$40)/1000</f>
        <v>2.6146666666666665</v>
      </c>
    </row>
    <row r="50" spans="2:11" ht="14.45" x14ac:dyDescent="0.3">
      <c r="C50" s="14" t="s">
        <v>57</v>
      </c>
      <c r="D50" s="15"/>
      <c r="E50" s="14" t="s">
        <v>11</v>
      </c>
      <c r="F50" s="15"/>
      <c r="G50" s="14" t="s">
        <v>12</v>
      </c>
      <c r="H50" s="16"/>
    </row>
    <row r="51" spans="2:11" ht="14.45" x14ac:dyDescent="0.3">
      <c r="B51" s="14" t="s">
        <v>52</v>
      </c>
      <c r="C51" s="73" t="s">
        <v>34</v>
      </c>
      <c r="D51" s="74" t="s">
        <v>35</v>
      </c>
      <c r="E51" s="73" t="s">
        <v>34</v>
      </c>
      <c r="F51" s="74" t="s">
        <v>35</v>
      </c>
      <c r="G51" s="73" t="s">
        <v>34</v>
      </c>
      <c r="H51" s="74" t="s">
        <v>35</v>
      </c>
    </row>
    <row r="52" spans="2:11" ht="14.45" x14ac:dyDescent="0.3">
      <c r="B52" s="3" t="s">
        <v>36</v>
      </c>
      <c r="C52" s="58">
        <f>(ACHTER_INVOER!B8/ACHTER_INVOER!B7*ACHTER_INVOER!B10*10*ACHTER_INVOER!B7)/BEREKENING!C37/1000</f>
        <v>4040.3605015673984</v>
      </c>
      <c r="D52" s="56">
        <f>ACHTER_INVOER!B8/ACHTER_INVOER!B7*ACHTER_INVOER!B7*BEREKENING!D37/1000</f>
        <v>714.40499999999997</v>
      </c>
      <c r="E52" s="76">
        <f>C52</f>
        <v>4040.3605015673984</v>
      </c>
      <c r="F52" s="76">
        <f>D52</f>
        <v>714.40499999999997</v>
      </c>
      <c r="G52" s="77">
        <f>C52</f>
        <v>4040.3605015673984</v>
      </c>
      <c r="H52" s="78">
        <f>D52</f>
        <v>714.40499999999997</v>
      </c>
      <c r="J52" s="212">
        <v>2194.3573667711598</v>
      </c>
      <c r="K52" s="212">
        <v>776</v>
      </c>
    </row>
    <row r="53" spans="2:11" ht="14.45" x14ac:dyDescent="0.3">
      <c r="B53" s="3" t="s">
        <v>37</v>
      </c>
      <c r="C53" s="58">
        <f>($C$29*BEREKENING!$C$25*$C$32*ACHTER_INVOER!$B$7*$C$38)/1000</f>
        <v>84.084000000000003</v>
      </c>
      <c r="D53" s="56">
        <f>($C$29*BEREKENING!$C$25*$C$32*ACHTER_INVOER!$B$7*$D$38)/1000</f>
        <v>22.88</v>
      </c>
      <c r="E53" s="58">
        <f>($C$29*BEREKENING!$C$26*$C$32*ACHTER_INVOER!$B$7*$C$38)/1000</f>
        <v>70.069999999999979</v>
      </c>
      <c r="F53" s="56">
        <f>($C$29*BEREKENING!$C$26*$C$32*ACHTER_INVOER!$B$7*$D$38)/1000</f>
        <v>19.066666666666663</v>
      </c>
      <c r="G53" s="58">
        <f>($C$29*BEREKENING!$C$27*$C$32*ACHTER_INVOER!$B$7*$C$38)/1000</f>
        <v>56.055999999999997</v>
      </c>
      <c r="H53" s="56">
        <f>($C$29*BEREKENING!$C$27*$C$32*ACHTER_INVOER!$B$7*$D$38)/1000</f>
        <v>15.253333333333334</v>
      </c>
      <c r="J53" s="1">
        <v>42.042000000000002</v>
      </c>
      <c r="K53" s="1">
        <v>11.44</v>
      </c>
    </row>
    <row r="54" spans="2:11" ht="14.45" x14ac:dyDescent="0.3">
      <c r="B54" s="3" t="s">
        <v>30</v>
      </c>
      <c r="C54" s="58">
        <f>(((BEREKENING!$C$25*$C$33*$C$41)/1000)-(($C$31*BEREKENING!$C$25*$C$33*$C$40)/1000))*ACHTER_INVOER!$B$7</f>
        <v>45.566249999999897</v>
      </c>
      <c r="D54" s="56">
        <f>(((BEREKENING!$C$25*$C$33*$D$41)/1000)-(($C$31*BEREKENING!$C$25*$C$33*$D$40)/1000))*ACHTER_INVOER!$B$7</f>
        <v>18.777499999999982</v>
      </c>
      <c r="E54" s="58">
        <f>(((BEREKENING!$C$26*$C$33*$C$41)/1000)-(($C$31*BEREKENING!$C$26*$C$33*$C$40)/1000))*ACHTER_INVOER!$B$7</f>
        <v>37.97187499999999</v>
      </c>
      <c r="F54" s="56">
        <f>(((BEREKENING!$C$26*$C$33*$D$41)/1000)-(($C$31*BEREKENING!$C$26*$C$33*$D$40)/1000))*ACHTER_INVOER!$B$7</f>
        <v>15.647916666666672</v>
      </c>
      <c r="G54" s="58">
        <f>(((BEREKENING!$C$27*$C$33*$C$41)/1000)-(($C$31*BEREKENING!$C$27*$C$33*$C$40)/1000))*ACHTER_INVOER!$B$7</f>
        <v>30.377500000000033</v>
      </c>
      <c r="H54" s="56">
        <f>(((BEREKENING!$C$27*$C$33*$D$41)/1000)-(($C$31*BEREKENING!$C$27*$C$33*$D$40)/1000))*ACHTER_INVOER!$B$7</f>
        <v>12.518333333333331</v>
      </c>
      <c r="J54" s="1">
        <v>22.783124999999949</v>
      </c>
      <c r="K54" s="1">
        <v>9.388749999999991</v>
      </c>
    </row>
    <row r="55" spans="2:11" ht="14.45" x14ac:dyDescent="0.3">
      <c r="B55" s="3" t="s">
        <v>38</v>
      </c>
      <c r="C55" s="58">
        <f>((BEREKENING!$C$25*$C$30*$C$39)/1000-(BEREKENING!$C$25*$C$29*$C$38)/1000)*ACHTER_INVOER!$B$13</f>
        <v>256.73599999999999</v>
      </c>
      <c r="D55" s="56">
        <f>((BEREKENING!$C$25*$C$30*$D$39)/1000-(BEREKENING!$C$25*$C$29*$D$38)/1000)*ACHTER_INVOER!$B$13</f>
        <v>80.64</v>
      </c>
      <c r="E55" s="58">
        <f>((BEREKENING!$C$26*$C$30*$C$39)/1000-(BEREKENING!$C$26*$C$29*$C$38)/1000)*ACHTER_INVOER!$B$13</f>
        <v>213.94666666666672</v>
      </c>
      <c r="F55" s="56">
        <f>((BEREKENING!$C$26*$C$30*$D$39)/1000-(BEREKENING!$C$26*$C$29*$D$38)/1000)*ACHTER_INVOER!$B$13</f>
        <v>67.2</v>
      </c>
      <c r="G55" s="58">
        <f>((BEREKENING!$C$27*$C$30*$C$39)/1000-(BEREKENING!$C$27*$C$29*$C$38)/1000)*ACHTER_INVOER!$B$13</f>
        <v>171.15733333333336</v>
      </c>
      <c r="H55" s="56">
        <f>((BEREKENING!$C$27*$C$30*$D$39)/1000-(BEREKENING!$C$27*$C$29*$D$38)/1000)*ACHTER_INVOER!$B$13</f>
        <v>53.760000000000005</v>
      </c>
      <c r="J55" s="1">
        <v>256.73599999999999</v>
      </c>
      <c r="K55" s="1">
        <v>80.64</v>
      </c>
    </row>
    <row r="56" spans="2:11" thickBot="1" x14ac:dyDescent="0.35">
      <c r="B56" s="24" t="s">
        <v>39</v>
      </c>
      <c r="C56" s="58">
        <f>(($C$31*BEREKENING!$C$25*$C$40)/1000+($C$29*BEREKENING!$C$25*$C$34*$C$38)/1000-(BEREKENING!$C$25*$C$30*$C$39)/1000)*ACHTER_INVOER!$B$15</f>
        <v>173.74396000000004</v>
      </c>
      <c r="D56" s="56">
        <f>(($C$31*BEREKENING!$C$25*$D$40)/1000+($C$29*BEREKENING!$C$25*$C$34*$D$38)/1000-(BEREKENING!$C$25*$C$30*$D$39)/1000)*ACHTER_INVOER!$B$15</f>
        <v>57.712200000000017</v>
      </c>
      <c r="E56" s="58">
        <f>(($C$31*BEREKENING!$C$26*$C$40)/1000+($C$29*BEREKENING!$C$26*$C$34*$C$38)/1000-(BEREKENING!$C$26*$C$30*$C$39)/1000)*ACHTER_INVOER!$B$15</f>
        <v>144.78663333333333</v>
      </c>
      <c r="F56" s="56">
        <f>(($C$31*BEREKENING!$C$26*$D$40)/1000+($C$29*BEREKENING!$C$26*$C$34*$D$38)/1000-(BEREKENING!$C$26*$C$30*$D$39)/1000)*ACHTER_INVOER!$B$15</f>
        <v>48.093499999999992</v>
      </c>
      <c r="G56" s="58">
        <f>(($C$31*BEREKENING!$C$27*$C$40)/1000+($C$29*BEREKENING!$C$27*$C$34*$C$38)/1000-(BEREKENING!$C$27*$C$30*$C$39)/1000)*ACHTER_INVOER!$B$15</f>
        <v>115.82930666666668</v>
      </c>
      <c r="H56" s="56">
        <f>(($C$31*BEREKENING!$C$27*$D$40)/1000+($C$29*BEREKENING!$C$27*$C$34*$D$38)/1000-(BEREKENING!$C$27*$C$30*$D$39)/1000)*ACHTER_INVOER!$B$15</f>
        <v>38.474799999999995</v>
      </c>
      <c r="J56" s="1">
        <v>173.74396000000004</v>
      </c>
      <c r="K56" s="1">
        <v>57.712200000000017</v>
      </c>
    </row>
    <row r="57" spans="2:11" thickBot="1" x14ac:dyDescent="0.35">
      <c r="C57" s="54">
        <f>SUM(C52:C56)</f>
        <v>4600.4907115673977</v>
      </c>
      <c r="D57" s="75">
        <f>SUM(D52:D56)</f>
        <v>894.41470000000004</v>
      </c>
      <c r="E57" s="54">
        <f t="shared" ref="E57:H57" si="1">SUM(E52:E56)</f>
        <v>4507.1356765673981</v>
      </c>
      <c r="F57" s="75">
        <f t="shared" si="1"/>
        <v>864.41308333333325</v>
      </c>
      <c r="G57" s="79">
        <f t="shared" si="1"/>
        <v>4413.7806415673977</v>
      </c>
      <c r="H57" s="75">
        <f t="shared" si="1"/>
        <v>834.41146666666657</v>
      </c>
      <c r="J57" s="212">
        <v>2689.6624517711598</v>
      </c>
      <c r="K57" s="212">
        <v>935.18095000000005</v>
      </c>
    </row>
    <row r="58" spans="2:11" ht="14.45" x14ac:dyDescent="0.3">
      <c r="C58" s="23"/>
    </row>
    <row r="59" spans="2:11" s="170" customFormat="1" x14ac:dyDescent="0.25">
      <c r="B59" s="210" t="s">
        <v>192</v>
      </c>
    </row>
    <row r="60" spans="2:11" s="83" customFormat="1" ht="12.6" customHeight="1" x14ac:dyDescent="0.2">
      <c r="B60" s="158"/>
      <c r="C60" s="88" t="s">
        <v>176</v>
      </c>
      <c r="D60" s="88" t="s">
        <v>35</v>
      </c>
      <c r="E60" s="95" t="s">
        <v>34</v>
      </c>
      <c r="H60" s="86"/>
      <c r="I60" s="87"/>
      <c r="J60" s="87"/>
    </row>
    <row r="61" spans="2:11" s="83" customFormat="1" ht="12.75" x14ac:dyDescent="0.2">
      <c r="B61" s="96" t="s">
        <v>193</v>
      </c>
      <c r="C61" s="86">
        <f>ACHTER_INVOER!S45/1000</f>
        <v>232458</v>
      </c>
      <c r="D61" s="86">
        <f>ACHTER_INVOER!T45/1000</f>
        <v>1554.6</v>
      </c>
      <c r="E61" s="86">
        <f>ACHTER_INVOER!U45/1000/6.25</f>
        <v>9273.69</v>
      </c>
      <c r="F61" s="86">
        <f>ACHTER_INVOER!V45</f>
        <v>219650</v>
      </c>
      <c r="G61" s="86">
        <f>IF(ACHTER_INVOER!$O45&gt;0,C61/ACHTER_INVOER!$O45*1000,0)</f>
        <v>1058.3109492374233</v>
      </c>
      <c r="H61" s="87">
        <f>IF(ACHTER_INVOER!$O45&gt;0,D61/ACHTER_INVOER!$O45*1000,0)</f>
        <v>7.0776234919189616</v>
      </c>
      <c r="I61" s="87">
        <f>IF(ACHTER_INVOER!$O45&gt;0,E61/ACHTER_INVOER!$O45*1000,0)</f>
        <v>42.220305030730707</v>
      </c>
      <c r="J61" s="87">
        <f>IF(H61&gt;0,I61/H61,0)</f>
        <v>5.9653222693940569</v>
      </c>
      <c r="K61" s="87">
        <f>IF(G61&gt;0,H61/G61*1000,0)</f>
        <v>6.6876597062695184</v>
      </c>
    </row>
    <row r="62" spans="2:11" s="83" customFormat="1" ht="12.75" x14ac:dyDescent="0.2">
      <c r="B62" s="96" t="s">
        <v>71</v>
      </c>
      <c r="C62" s="86">
        <f>ACHTER_INVOER!S54/1000</f>
        <v>180398.75</v>
      </c>
      <c r="D62" s="86">
        <f>ACHTER_INVOER!T54/1000</f>
        <v>865.91399999999999</v>
      </c>
      <c r="E62" s="86">
        <f>ACHTER_INVOER!U54/1000/6.25</f>
        <v>5772.76</v>
      </c>
      <c r="F62" s="86">
        <f>ACHTER_INVOER!V54</f>
        <v>206170</v>
      </c>
      <c r="G62" s="86">
        <f>IF(ACHTER_INVOER!$O54&gt;0,C62/ACHTER_INVOER!$O54*1000,0)</f>
        <v>875</v>
      </c>
      <c r="H62" s="87">
        <f>IF(ACHTER_INVOER!$O54&gt;0,D62/ACHTER_INVOER!$O54*1000,0)</f>
        <v>4.2</v>
      </c>
      <c r="I62" s="87">
        <f>IF(ACHTER_INVOER!$O54&gt;0,E62/ACHTER_INVOER!$O54*1000,0)</f>
        <v>28</v>
      </c>
      <c r="J62" s="87">
        <f>IF(H62&gt;0,I62/H62,0)</f>
        <v>6.6666666666666661</v>
      </c>
      <c r="K62" s="87">
        <f>IF(G62&gt;0,H62/G62*1000,0)</f>
        <v>4.8000000000000007</v>
      </c>
    </row>
    <row r="63" spans="2:11" s="83" customFormat="1" ht="12.75" x14ac:dyDescent="0.2">
      <c r="B63" s="96" t="s">
        <v>82</v>
      </c>
      <c r="C63" s="86">
        <f>ACHTER_INVOER!S63/1000</f>
        <v>247268.6875</v>
      </c>
      <c r="D63" s="86">
        <f>ACHTER_INVOER!T63/1000</f>
        <v>534.63499999999999</v>
      </c>
      <c r="E63" s="86">
        <f>ACHTER_INVOER!U63/1000/6.25</f>
        <v>3341.46875</v>
      </c>
      <c r="F63" s="86">
        <f>ACHTER_INVOER!V63</f>
        <v>267317.5</v>
      </c>
      <c r="G63" s="86">
        <f>IF(ACHTER_INVOER!$O63&gt;0,C63/ACHTER_INVOER!$O63*1000,0)</f>
        <v>925</v>
      </c>
      <c r="H63" s="87">
        <f>IF(ACHTER_INVOER!$O63&gt;0,D63/ACHTER_INVOER!$O63*1000,0)</f>
        <v>2</v>
      </c>
      <c r="I63" s="87">
        <f>IF(ACHTER_INVOER!$O63&gt;0,E63/ACHTER_INVOER!$O63*1000,0)</f>
        <v>12.5</v>
      </c>
      <c r="J63" s="87">
        <f>IF(H63&gt;0,I63/H63,0)</f>
        <v>6.25</v>
      </c>
      <c r="K63" s="87">
        <f>IF(G63&gt;0,H63/G63*1000,0)</f>
        <v>2.1621621621621623</v>
      </c>
    </row>
    <row r="64" spans="2:11" s="83" customFormat="1" ht="12.75" x14ac:dyDescent="0.2">
      <c r="B64" s="96" t="s">
        <v>175</v>
      </c>
      <c r="C64" s="86">
        <f>ACHTER_INVOER!S72/1000</f>
        <v>0</v>
      </c>
      <c r="D64" s="86">
        <f>ACHTER_INVOER!T72/1000</f>
        <v>0</v>
      </c>
      <c r="E64" s="86">
        <f>ACHTER_INVOER!U72/1000/6.25</f>
        <v>0</v>
      </c>
      <c r="F64" s="86">
        <f>ACHTER_INVOER!V72</f>
        <v>0</v>
      </c>
      <c r="G64" s="86">
        <f>IF(ACHTER_INVOER!$O72&gt;0,C64/ACHTER_INVOER!$O72*1000,0)</f>
        <v>0</v>
      </c>
      <c r="H64" s="87">
        <f>IF(ACHTER_INVOER!$O72&gt;0,D64/ACHTER_INVOER!$O72*1000,0)</f>
        <v>0</v>
      </c>
      <c r="I64" s="87">
        <f>IF(ACHTER_INVOER!$O72&gt;0,E64/ACHTER_INVOER!$O72*1000,0)</f>
        <v>0</v>
      </c>
      <c r="J64" s="87">
        <f>IF(H64&gt;0,I64/H64,0)</f>
        <v>0</v>
      </c>
      <c r="K64" s="87">
        <f>IF(G64&gt;0,H64/G64*1000,0)</f>
        <v>0</v>
      </c>
    </row>
    <row r="65" spans="2:13" s="83" customFormat="1" ht="12.75" x14ac:dyDescent="0.2">
      <c r="B65" s="158"/>
      <c r="D65" s="84"/>
      <c r="E65" s="87"/>
      <c r="H65" s="86"/>
      <c r="I65" s="87"/>
      <c r="J65" s="87"/>
    </row>
    <row r="66" spans="2:13" s="83" customFormat="1" ht="12.75" x14ac:dyDescent="0.2">
      <c r="B66" s="158"/>
      <c r="D66" s="84"/>
      <c r="E66" s="87"/>
      <c r="H66" s="86"/>
      <c r="I66" s="87"/>
      <c r="J66" s="87"/>
    </row>
    <row r="67" spans="2:13" s="83" customFormat="1" ht="12.75" x14ac:dyDescent="0.2">
      <c r="B67" s="158"/>
      <c r="D67" s="84"/>
      <c r="E67" s="87"/>
      <c r="H67" s="86"/>
      <c r="I67" s="87"/>
      <c r="J67" s="87"/>
    </row>
    <row r="68" spans="2:13" s="83" customFormat="1" ht="12.75" x14ac:dyDescent="0.2">
      <c r="B68" s="158"/>
      <c r="D68" s="84"/>
      <c r="E68" s="87"/>
      <c r="H68" s="86"/>
      <c r="I68" s="87"/>
      <c r="J68" s="87"/>
    </row>
    <row r="69" spans="2:13" s="83" customFormat="1" ht="12.75" x14ac:dyDescent="0.2">
      <c r="B69" s="158"/>
      <c r="D69" s="84"/>
      <c r="E69" s="87"/>
      <c r="H69" s="86"/>
      <c r="I69" s="87"/>
      <c r="J69" s="87"/>
    </row>
    <row r="70" spans="2:13" x14ac:dyDescent="0.25">
      <c r="B70" s="99" t="s">
        <v>70</v>
      </c>
    </row>
    <row r="71" spans="2:13" x14ac:dyDescent="0.25">
      <c r="B71" s="101">
        <f>IF(INVOERPAGINA!B29=LIJSTJES!B2,0.6,IF(INVOERPAGINA!B29=LIJSTJES!B3,0.8,IF(INVOERPAGINA!B29=LIJSTJES!B5,1,IF(INVOERPAGINA!B29=LIJSTJES!B6,0.65,IF(INVOERPAGINA!B29=LIJSTJES!B4,0.8,0.825)))))</f>
        <v>0.8</v>
      </c>
      <c r="H71" s="213"/>
    </row>
    <row r="72" spans="2:13" x14ac:dyDescent="0.25">
      <c r="H72" s="213"/>
    </row>
    <row r="73" spans="2:13" x14ac:dyDescent="0.25">
      <c r="B73" s="104" t="s">
        <v>74</v>
      </c>
      <c r="C73" s="136">
        <f>IF((SUM(BEREKENING!C62:C64))&gt;0,BEREKENING!C62/(SUM(BEREKENING!C62:C64)),0)</f>
        <v>0.42182016721813198</v>
      </c>
      <c r="D73" s="137"/>
      <c r="E73" s="138">
        <f>BEREKENING!C62/(SUM(BEREKENING!C62:C64))</f>
        <v>0.42182016721813198</v>
      </c>
      <c r="H73" s="213"/>
    </row>
    <row r="74" spans="2:13" x14ac:dyDescent="0.25">
      <c r="B74" s="173" t="s">
        <v>183</v>
      </c>
      <c r="C74" s="175">
        <f>1-C73</f>
        <v>0.57817983278186802</v>
      </c>
      <c r="D74" s="139"/>
      <c r="E74" s="176">
        <f>1-E73</f>
        <v>0.57817983278186802</v>
      </c>
      <c r="H74" s="213"/>
    </row>
    <row r="75" spans="2:13" x14ac:dyDescent="0.25">
      <c r="B75" s="24"/>
      <c r="C75" s="106"/>
      <c r="D75" s="106"/>
      <c r="E75" s="107"/>
    </row>
    <row r="76" spans="2:13" x14ac:dyDescent="0.25">
      <c r="B76" s="212" t="s">
        <v>75</v>
      </c>
    </row>
    <row r="77" spans="2:13" x14ac:dyDescent="0.25">
      <c r="B77" s="212" t="s">
        <v>76</v>
      </c>
      <c r="C77" s="130">
        <f>IF(B71&lt;1,B71+(1-B71)*(6-INVOERPAGINA!F29)/6,1)</f>
        <v>0.81666666666666665</v>
      </c>
      <c r="E77" s="113" t="s">
        <v>114</v>
      </c>
      <c r="F77" s="157">
        <f>BEREKENING!C62/(BEREKENING!C62+BEREKENING!C95)</f>
        <v>0.65553930398476234</v>
      </c>
      <c r="I77" s="213"/>
      <c r="L77" s="102"/>
      <c r="M77" s="135"/>
    </row>
    <row r="78" spans="2:13" x14ac:dyDescent="0.25">
      <c r="B78" s="212" t="s">
        <v>93</v>
      </c>
      <c r="C78" s="130">
        <f>1-C77</f>
        <v>0.18333333333333335</v>
      </c>
      <c r="E78" s="114" t="s">
        <v>100</v>
      </c>
      <c r="F78" s="116">
        <f>1-F77</f>
        <v>0.34446069601523766</v>
      </c>
      <c r="L78" s="102"/>
    </row>
    <row r="79" spans="2:13" x14ac:dyDescent="0.25">
      <c r="E79" s="114"/>
      <c r="F79" s="115"/>
    </row>
    <row r="80" spans="2:13" x14ac:dyDescent="0.25">
      <c r="B80" s="212" t="s">
        <v>100</v>
      </c>
      <c r="C80" s="102">
        <f>IF(C78=0,0,1)</f>
        <v>1</v>
      </c>
      <c r="E80" s="114" t="s">
        <v>100</v>
      </c>
      <c r="F80" s="116">
        <f>IF(C78=0,0,1)</f>
        <v>1</v>
      </c>
      <c r="L80" s="23"/>
    </row>
    <row r="81" spans="1:13" x14ac:dyDescent="0.25">
      <c r="B81" s="212" t="s">
        <v>99</v>
      </c>
      <c r="C81" s="102">
        <f>IF(C78=0,C73,(1/C78)*C77)</f>
        <v>4.4545454545454541</v>
      </c>
      <c r="E81" s="114" t="s">
        <v>99</v>
      </c>
      <c r="F81" s="116">
        <f>IF(C78=0,C73,(1/F78)*F77)</f>
        <v>1.9030888329731637</v>
      </c>
      <c r="I81" s="135"/>
      <c r="L81" s="23"/>
    </row>
    <row r="82" spans="1:13" x14ac:dyDescent="0.25">
      <c r="B82" s="174" t="s">
        <v>178</v>
      </c>
      <c r="C82" s="179">
        <f>IF(C73=0,1,(C81/C73)*C74)</f>
        <v>6.1057496681908559</v>
      </c>
      <c r="E82" s="177" t="s">
        <v>178</v>
      </c>
      <c r="F82" s="178">
        <f>IF(C73=0,1,(F81/C73)*C74)</f>
        <v>2.6085229411244857</v>
      </c>
    </row>
    <row r="83" spans="1:13" x14ac:dyDescent="0.25">
      <c r="C83" s="102"/>
      <c r="D83" s="102"/>
      <c r="E83" s="114"/>
      <c r="F83" s="117"/>
      <c r="L83" s="102"/>
    </row>
    <row r="84" spans="1:13" x14ac:dyDescent="0.25">
      <c r="B84" s="212" t="s">
        <v>94</v>
      </c>
      <c r="C84" s="102">
        <f>(C80/(C$80+C$81+C$82))</f>
        <v>8.6502981920698663E-2</v>
      </c>
      <c r="E84" s="114" t="s">
        <v>94</v>
      </c>
      <c r="F84" s="116">
        <f>(F80/(F$80+F$81+F$82))</f>
        <v>0.18143513022807528</v>
      </c>
      <c r="H84" s="102"/>
      <c r="L84" s="102"/>
    </row>
    <row r="85" spans="1:13" x14ac:dyDescent="0.25">
      <c r="B85" s="212" t="s">
        <v>96</v>
      </c>
      <c r="C85" s="102">
        <f>C81/(C80+C$81+C$82)</f>
        <v>0.38533146491947584</v>
      </c>
      <c r="E85" s="114" t="s">
        <v>96</v>
      </c>
      <c r="F85" s="116">
        <f>F81/(F80+F$81+F$82)</f>
        <v>0.34528717024608174</v>
      </c>
      <c r="L85" s="102"/>
    </row>
    <row r="86" spans="1:13" x14ac:dyDescent="0.25">
      <c r="B86" s="174" t="s">
        <v>179</v>
      </c>
      <c r="C86" s="179">
        <f>(C82/(C80+C$81+C$82))</f>
        <v>0.5281655531598255</v>
      </c>
      <c r="E86" s="180" t="s">
        <v>95</v>
      </c>
      <c r="F86" s="181">
        <f>(F82/(F80+F$81+F$82))</f>
        <v>0.47327769952584298</v>
      </c>
      <c r="L86" s="102"/>
    </row>
    <row r="87" spans="1:13" x14ac:dyDescent="0.25">
      <c r="C87" s="1"/>
    </row>
    <row r="88" spans="1:13" x14ac:dyDescent="0.25">
      <c r="A88" s="55"/>
      <c r="B88" s="105" t="s">
        <v>113</v>
      </c>
      <c r="C88" s="105"/>
      <c r="D88" s="105"/>
      <c r="E88" s="108"/>
      <c r="I88" s="213"/>
      <c r="L88" s="102"/>
      <c r="M88" s="213"/>
    </row>
    <row r="89" spans="1:13" x14ac:dyDescent="0.25">
      <c r="A89" s="3"/>
      <c r="B89" s="26" t="s">
        <v>107</v>
      </c>
      <c r="C89" s="26">
        <f>IF(INVOERPAGINA!B29=LIJSTJES!B2,20,IF(INVOERPAGINA!B29=LIJSTJES!B3,9,IF(INVOERPAGINA!B29=LIJSTJES!B4,6,IF(INVOERPAGINA!B29=LIJSTJES!B6,20,9))))</f>
        <v>9</v>
      </c>
      <c r="D89" s="26"/>
      <c r="E89" s="383"/>
      <c r="L89" s="102"/>
      <c r="M89" s="213"/>
    </row>
    <row r="90" spans="1:13" x14ac:dyDescent="0.25">
      <c r="A90" s="3"/>
      <c r="B90" s="7" t="s">
        <v>108</v>
      </c>
      <c r="C90" s="4">
        <f>ACHTER_INVOER!B8/INVOERPAGINA!C17*(0.337+0.116*ACHTER_INVOER!B9+0.06*ACHTER_INVOER!B10)</f>
        <v>7830.4679999999998</v>
      </c>
      <c r="D90" s="7"/>
      <c r="E90" s="109"/>
      <c r="L90" s="102"/>
      <c r="M90" s="213"/>
    </row>
    <row r="91" spans="1:13" x14ac:dyDescent="0.25">
      <c r="A91" s="3"/>
      <c r="B91" s="7" t="s">
        <v>109</v>
      </c>
      <c r="C91" s="4">
        <f>(INVOERPAGINA!F29*30.5)</f>
        <v>167.75</v>
      </c>
      <c r="D91" s="7"/>
      <c r="E91" s="110"/>
      <c r="L91" s="102"/>
    </row>
    <row r="92" spans="1:13" x14ac:dyDescent="0.25">
      <c r="A92" s="3"/>
      <c r="B92" s="26" t="s">
        <v>146</v>
      </c>
      <c r="C92" s="139">
        <f>IF(INVOERPAGINA!B29=LIJSTJES!B6,0.87,IF(INVOERPAGINA!B29=LIJSTJES!B7,0.87,1))</f>
        <v>1</v>
      </c>
      <c r="D92" s="7"/>
      <c r="E92" s="110"/>
      <c r="L92" s="102"/>
    </row>
    <row r="93" spans="1:13" x14ac:dyDescent="0.25">
      <c r="A93" s="3"/>
      <c r="B93" s="7" t="s">
        <v>110</v>
      </c>
      <c r="C93" s="218">
        <f>((2+0.75*(C89-2))*((1+(C90-9500)/500*0.02)*0.87)*C92)</f>
        <v>5.8862770763999999</v>
      </c>
      <c r="D93" s="7"/>
      <c r="E93" s="110"/>
    </row>
    <row r="94" spans="1:13" x14ac:dyDescent="0.25">
      <c r="A94" s="3"/>
      <c r="B94" s="7" t="s">
        <v>111</v>
      </c>
      <c r="C94" s="4">
        <f>C93*C91</f>
        <v>987.42297956610003</v>
      </c>
      <c r="D94" s="4"/>
      <c r="E94" s="56"/>
    </row>
    <row r="95" spans="1:13" x14ac:dyDescent="0.25">
      <c r="A95" s="24"/>
      <c r="B95" s="106" t="s">
        <v>112</v>
      </c>
      <c r="C95" s="111">
        <f>C94*ACHTER_INVOER!B7*960/1000</f>
        <v>94792.606038345592</v>
      </c>
      <c r="D95" s="111"/>
      <c r="E95" s="112"/>
    </row>
    <row r="96" spans="1:13" x14ac:dyDescent="0.25">
      <c r="D96" s="213"/>
    </row>
    <row r="97" spans="2:17" x14ac:dyDescent="0.25">
      <c r="B97" s="182" t="s">
        <v>180</v>
      </c>
      <c r="C97" s="184">
        <f>IF(SUM(BEREKENING!C63:C64)&gt;0,BEREKENING!C63/SUM(BEREKENING!C63:C64),0)</f>
        <v>1</v>
      </c>
      <c r="D97" s="213"/>
    </row>
    <row r="98" spans="2:17" x14ac:dyDescent="0.25">
      <c r="B98" s="183" t="s">
        <v>181</v>
      </c>
      <c r="C98" s="185">
        <f>1-C97</f>
        <v>0</v>
      </c>
      <c r="D98" s="213"/>
    </row>
    <row r="99" spans="2:17" x14ac:dyDescent="0.25">
      <c r="D99" s="213"/>
      <c r="K99" s="212" t="s">
        <v>232</v>
      </c>
      <c r="L99" s="212" t="s">
        <v>232</v>
      </c>
      <c r="M99" s="212" t="s">
        <v>232</v>
      </c>
    </row>
    <row r="100" spans="2:17" x14ac:dyDescent="0.25">
      <c r="B100" s="147" t="s">
        <v>97</v>
      </c>
      <c r="C100" s="141">
        <f>D22-BEREKENING!$C$61</f>
        <v>516392.72687105928</v>
      </c>
      <c r="D100" s="142" t="s">
        <v>144</v>
      </c>
      <c r="E100" s="140">
        <f>F22-BEREKENING!$C$61</f>
        <v>465098.42514176737</v>
      </c>
      <c r="F100" s="140" t="s">
        <v>144</v>
      </c>
      <c r="G100" s="143">
        <f>H22-BEREKENING!$C$61</f>
        <v>412526.8725745558</v>
      </c>
      <c r="H100" s="33" t="s">
        <v>144</v>
      </c>
      <c r="K100" s="213">
        <f>ACHTER_INVOER!$O45</f>
        <v>219650</v>
      </c>
      <c r="L100" s="213">
        <f>ACHTER_INVOER!$O45</f>
        <v>219650</v>
      </c>
      <c r="M100" s="213">
        <f>ACHTER_INVOER!$O45</f>
        <v>219650</v>
      </c>
    </row>
    <row r="101" spans="2:17" x14ac:dyDescent="0.25">
      <c r="B101" s="144" t="s">
        <v>98</v>
      </c>
      <c r="C101" s="76">
        <f>C84*C$100</f>
        <v>44669.510716507524</v>
      </c>
      <c r="D101" s="626">
        <f>C101</f>
        <v>44669.510716507524</v>
      </c>
      <c r="E101" s="76">
        <f>C84*E$100</f>
        <v>40232.400661383726</v>
      </c>
      <c r="F101" s="626">
        <f>E101</f>
        <v>40232.400661383726</v>
      </c>
      <c r="G101" s="76">
        <f>C84*G$100</f>
        <v>35684.804600119161</v>
      </c>
      <c r="H101" s="626">
        <f>G101</f>
        <v>35684.804600119161</v>
      </c>
      <c r="K101" s="213">
        <f>IF(INVOERPAGINA!$H41&gt;0,C101*1000/960,0)</f>
        <v>46530.740329695334</v>
      </c>
      <c r="L101" s="213">
        <f>IF(INVOERPAGINA!$H41&gt;0,E101*1000/960,0)</f>
        <v>41908.750688941378</v>
      </c>
      <c r="M101" s="213">
        <f>IF(INVOERPAGINA!$H41&gt;0,G101*1000/960,0)</f>
        <v>37171.671458457458</v>
      </c>
      <c r="N101" s="213"/>
      <c r="P101" s="213"/>
      <c r="Q101" s="213"/>
    </row>
    <row r="102" spans="2:17" x14ac:dyDescent="0.25">
      <c r="B102" s="145" t="s">
        <v>101</v>
      </c>
      <c r="C102" s="18">
        <f>C85*C$100</f>
        <v>198982.36591898804</v>
      </c>
      <c r="D102" s="627">
        <f t="shared" ref="D102:D104" si="2">C102</f>
        <v>198982.36591898804</v>
      </c>
      <c r="E102" s="18">
        <f>C85*E$100</f>
        <v>179217.05749161838</v>
      </c>
      <c r="F102" s="627">
        <f t="shared" ref="F102:F104" si="3">E102</f>
        <v>179217.05749161838</v>
      </c>
      <c r="G102" s="18">
        <f>C85*G$100</f>
        <v>158959.58412780354</v>
      </c>
      <c r="H102" s="627">
        <f t="shared" ref="H102:H104" si="4">G102</f>
        <v>158959.58412780354</v>
      </c>
      <c r="K102" s="213">
        <f>IF(ACHTER_INVOER!$Z54&gt;0,C102*1000/ACHTER_INVOER!$Z54,0)</f>
        <v>227408.41819312921</v>
      </c>
      <c r="L102" s="213">
        <f>IF(ACHTER_INVOER!$Z54&gt;0,E102*1000/ACHTER_INVOER!$Z54,0)</f>
        <v>204819.49427613532</v>
      </c>
      <c r="M102" s="213">
        <f>IF(ACHTER_INVOER!$Z54&gt;0,G102*1000/ACHTER_INVOER!$Z54,0)</f>
        <v>181668.09614606117</v>
      </c>
      <c r="N102" s="213"/>
      <c r="P102" s="213"/>
      <c r="Q102" s="213"/>
    </row>
    <row r="103" spans="2:17" x14ac:dyDescent="0.25">
      <c r="B103" s="145" t="s">
        <v>102</v>
      </c>
      <c r="C103" s="18">
        <f>$C$86*C$100*$C$97</f>
        <v>272740.8502355637</v>
      </c>
      <c r="D103" s="627">
        <f t="shared" si="2"/>
        <v>272740.8502355637</v>
      </c>
      <c r="E103" s="18">
        <f>$C$86*E$100*$C$97</f>
        <v>245648.96698876526</v>
      </c>
      <c r="F103" s="627">
        <f t="shared" si="3"/>
        <v>245648.96698876526</v>
      </c>
      <c r="G103" s="18">
        <f>$C$86*G$100*$C$97</f>
        <v>217882.48384663311</v>
      </c>
      <c r="H103" s="627">
        <f t="shared" si="4"/>
        <v>217882.48384663311</v>
      </c>
      <c r="K103" s="213">
        <f>IF(ACHTER_INVOER!$Z63&gt;0,C103*1000/ACHTER_INVOER!$Z63,0)</f>
        <v>294854.97322763642</v>
      </c>
      <c r="L103" s="213">
        <f>IF(ACHTER_INVOER!$Z63&gt;0,E103*1000/ACHTER_INVOER!$Z63,0)</f>
        <v>265566.45079866517</v>
      </c>
      <c r="M103" s="213">
        <f>IF(ACHTER_INVOER!$Z63&gt;0,G103*1000/ACHTER_INVOER!$Z63,0)</f>
        <v>235548.63118554931</v>
      </c>
      <c r="N103" s="213"/>
      <c r="P103" s="213"/>
      <c r="Q103" s="213"/>
    </row>
    <row r="104" spans="2:17" x14ac:dyDescent="0.25">
      <c r="B104" s="172" t="s">
        <v>177</v>
      </c>
      <c r="C104" s="60">
        <f>$C$86*C$100*$C$98</f>
        <v>0</v>
      </c>
      <c r="D104" s="628">
        <f t="shared" si="2"/>
        <v>0</v>
      </c>
      <c r="E104" s="60">
        <f>$C$86*E$100*$C$98</f>
        <v>0</v>
      </c>
      <c r="F104" s="628">
        <f t="shared" si="3"/>
        <v>0</v>
      </c>
      <c r="G104" s="60">
        <f>$C$86*G$100*$C$98</f>
        <v>0</v>
      </c>
      <c r="H104" s="628">
        <f t="shared" si="4"/>
        <v>0</v>
      </c>
      <c r="K104" s="213">
        <f>IF(ACHTER_INVOER!$Z72&gt;0,C104*1000/ACHTER_INVOER!$Z72,0)</f>
        <v>0</v>
      </c>
      <c r="L104" s="213">
        <f>IF(ACHTER_INVOER!$Z72&gt;0,E104*1000/ACHTER_INVOER!$Z72,0)</f>
        <v>0</v>
      </c>
      <c r="M104" s="213">
        <f>IF(ACHTER_INVOER!$Z72&gt;0,G104*1000/ACHTER_INVOER!$Z72,0)</f>
        <v>0</v>
      </c>
      <c r="N104" s="213"/>
      <c r="P104" s="213"/>
      <c r="Q104" s="213"/>
    </row>
    <row r="105" spans="2:17" x14ac:dyDescent="0.25">
      <c r="C105" s="213"/>
      <c r="D105" s="213"/>
      <c r="E105" s="213" t="s">
        <v>330</v>
      </c>
      <c r="F105" s="213"/>
      <c r="G105" s="213"/>
      <c r="H105" s="213"/>
    </row>
    <row r="106" spans="2:17" x14ac:dyDescent="0.25">
      <c r="K106" s="1">
        <f>INVOERPAGINA!C13/SUM(INVOERPAGINA!C13:C15)*(SUM(K100:K104)/INVOERPAGINA!C17/365)</f>
        <v>21.601209089053725</v>
      </c>
      <c r="L106" s="213">
        <f>INVOERPAGINA!C13/SUM(INVOERPAGINA!C13:C15)*(D22/SUM(K100:K104)*1000)</f>
        <v>949.78286566544853</v>
      </c>
      <c r="M106" s="213">
        <f>INVOERPAGINA!C13/SUM(INVOERPAGINA!C13:C15)*(C120/SUM(K100:K104)*1000*6.25)</f>
        <v>165.66788636608047</v>
      </c>
      <c r="N106" s="1">
        <f>INVOERPAGINA!C13/SUM(INVOERPAGINA!C13:C15)*(D120/SUM(K100:K104)*1000)</f>
        <v>4.2166077506298461</v>
      </c>
    </row>
    <row r="107" spans="2:17" x14ac:dyDescent="0.25">
      <c r="B107" s="55" t="s">
        <v>116</v>
      </c>
      <c r="C107" s="187" t="s">
        <v>184</v>
      </c>
      <c r="D107" s="188" t="s">
        <v>116</v>
      </c>
      <c r="F107" s="213"/>
      <c r="K107" s="1">
        <f>INVOERPAGINA!C15/SUM(INVOERPAGINA!C13:C15)*(SUM(L100:L104)/365/INVOERPAGINA!C17)</f>
        <v>0</v>
      </c>
      <c r="L107" s="213">
        <f>INVOERPAGINA!C15/SUM(INVOERPAGINA!C13:C15)*(F22/SUM(L100:L104)*1000)</f>
        <v>0</v>
      </c>
      <c r="M107" s="213">
        <f>INVOERPAGINA!C15/SUM(INVOERPAGINA!C13:C15)*(E120/SUM($L100:$L104)*1000*6.25)</f>
        <v>0</v>
      </c>
      <c r="N107" s="1">
        <f>INVOERPAGINA!C15/SUM(INVOERPAGINA!C13:C15)*(F120/SUM($L100:$L104)*1000)</f>
        <v>0</v>
      </c>
    </row>
    <row r="108" spans="2:17" x14ac:dyDescent="0.25">
      <c r="B108" s="144" t="s">
        <v>117</v>
      </c>
      <c r="C108" s="132">
        <f>IF(BEREKENING!G62&gt;0,BEREKENING!I62/BEREKENING!G62*1.1,0)</f>
        <v>3.5200000000000002E-2</v>
      </c>
      <c r="D108" s="189">
        <f>IF(BEREKENING!G62&gt;0,BEREKENING!H62/BEREKENING!G62*1.05,0)</f>
        <v>5.0400000000000011E-3</v>
      </c>
      <c r="K108" s="1">
        <f>INVOERPAGINA!C14/SUM(INVOERPAGINA!C13:C15)*(SUM(M100:M104)/365/INVOERPAGINA!C17)</f>
        <v>0</v>
      </c>
      <c r="L108" s="213">
        <f>INVOERPAGINA!C14/SUM(INVOERPAGINA!C13:C15)*(H22/SUM(M100:M104)*1000)</f>
        <v>0</v>
      </c>
      <c r="M108" s="213">
        <f>INVOERPAGINA!C14/SUM(INVOERPAGINA!C13:C15)*(G120*6.25*1000/(SUM($M100:$M104)))</f>
        <v>0</v>
      </c>
      <c r="N108" s="1">
        <f>INVOERPAGINA!C14/SUM(INVOERPAGINA!C13:C15)*(H120*1000/(SUM($M100:$M104)))</f>
        <v>0</v>
      </c>
    </row>
    <row r="109" spans="2:17" x14ac:dyDescent="0.25">
      <c r="B109" s="145" t="s">
        <v>71</v>
      </c>
      <c r="C109" s="133">
        <f>IF(BEREKENING!G62&gt;0,BEREKENING!I62/BEREKENING!G62,0)</f>
        <v>3.2000000000000001E-2</v>
      </c>
      <c r="D109" s="190">
        <f>IF(BEREKENING!G62&gt;0,BEREKENING!H62/BEREKENING!G62,0)</f>
        <v>4.8000000000000004E-3</v>
      </c>
      <c r="K109" s="1">
        <f>SUM(K106:K108)</f>
        <v>21.601209089053725</v>
      </c>
      <c r="L109" s="213">
        <f t="shared" ref="L109:N109" si="5">SUM(L106:L108)</f>
        <v>949.78286566544853</v>
      </c>
      <c r="M109" s="213">
        <f t="shared" si="5"/>
        <v>165.66788636608047</v>
      </c>
      <c r="N109" s="1">
        <f t="shared" si="5"/>
        <v>4.2166077506298461</v>
      </c>
    </row>
    <row r="110" spans="2:17" x14ac:dyDescent="0.25">
      <c r="B110" s="145" t="s">
        <v>82</v>
      </c>
      <c r="C110" s="133">
        <f>IF(BEREKENING!G63&gt;0,BEREKENING!I63/BEREKENING!G63,0)</f>
        <v>1.3513513513513514E-2</v>
      </c>
      <c r="D110" s="190">
        <f>IF(BEREKENING!G63&gt;0,BEREKENING!H63/BEREKENING!G63,0)</f>
        <v>2.1621621621621622E-3</v>
      </c>
    </row>
    <row r="111" spans="2:17" x14ac:dyDescent="0.25">
      <c r="B111" s="186" t="s">
        <v>182</v>
      </c>
      <c r="C111" s="133">
        <f>IF(BEREKENING!G64&gt;0,BEREKENING!I64/BEREKENING!G64,0)</f>
        <v>0</v>
      </c>
      <c r="D111" s="190">
        <f>IF(BEREKENING!G64&gt;0,BEREKENING!H64/BEREKENING!G64,0)</f>
        <v>0</v>
      </c>
    </row>
    <row r="112" spans="2:17" x14ac:dyDescent="0.25">
      <c r="B112" s="146" t="s">
        <v>72</v>
      </c>
      <c r="C112" s="134">
        <f>IF(BEREKENING!G61&gt;0,BEREKENING!I61/BEREKENING!G61,0)</f>
        <v>3.9894045375938873E-2</v>
      </c>
      <c r="D112" s="191">
        <f>IF(BEREKENING!G61&gt;0,BEREKENING!H61/BEREKENING!G61,0)</f>
        <v>6.6876597062695189E-3</v>
      </c>
    </row>
    <row r="114" spans="2:15" x14ac:dyDescent="0.25">
      <c r="B114" s="432"/>
      <c r="C114" s="433" t="s">
        <v>137</v>
      </c>
      <c r="D114" s="434" t="s">
        <v>138</v>
      </c>
      <c r="E114" s="435" t="s">
        <v>137</v>
      </c>
      <c r="F114" s="435" t="s">
        <v>138</v>
      </c>
      <c r="G114" s="436" t="s">
        <v>137</v>
      </c>
      <c r="H114" s="437" t="s">
        <v>138</v>
      </c>
      <c r="I114" s="432" t="s">
        <v>306</v>
      </c>
      <c r="J114" s="429"/>
      <c r="K114" s="429"/>
      <c r="L114" s="429"/>
      <c r="M114" s="429"/>
      <c r="N114" s="429"/>
      <c r="O114" s="429"/>
    </row>
    <row r="115" spans="2:15" x14ac:dyDescent="0.25">
      <c r="B115" s="438" t="s">
        <v>117</v>
      </c>
      <c r="C115" s="439">
        <f>$C108*C101</f>
        <v>1572.3667772210649</v>
      </c>
      <c r="D115" s="440">
        <f>C101*$D108</f>
        <v>225.13433401119798</v>
      </c>
      <c r="E115" s="439">
        <f>$C108*E101</f>
        <v>1416.1805032807072</v>
      </c>
      <c r="F115" s="440">
        <f>E101*$D108</f>
        <v>202.77129933337403</v>
      </c>
      <c r="G115" s="439">
        <f>$C108*G101</f>
        <v>1256.1051219241945</v>
      </c>
      <c r="H115" s="440">
        <f>G101*$D108</f>
        <v>179.85141518460063</v>
      </c>
      <c r="I115" s="432" t="s">
        <v>307</v>
      </c>
      <c r="J115" s="429"/>
      <c r="K115" s="429"/>
      <c r="L115" s="429"/>
      <c r="M115" s="429"/>
      <c r="N115" s="429"/>
      <c r="O115" s="429"/>
    </row>
    <row r="116" spans="2:15" x14ac:dyDescent="0.25">
      <c r="B116" s="441" t="s">
        <v>71</v>
      </c>
      <c r="C116" s="439">
        <f>$C109*C102</f>
        <v>6367.4357094076177</v>
      </c>
      <c r="D116" s="440">
        <f t="shared" ref="D116:D118" si="6">C102*$D109</f>
        <v>955.11535641114267</v>
      </c>
      <c r="E116" s="439">
        <f>$C109*E102</f>
        <v>5734.9458397317885</v>
      </c>
      <c r="F116" s="440">
        <f t="shared" ref="F116:F118" si="7">E102*$D109</f>
        <v>860.24187595976832</v>
      </c>
      <c r="G116" s="439">
        <f t="shared" ref="G116:G118" si="8">$C109*G102</f>
        <v>5086.7066920897132</v>
      </c>
      <c r="H116" s="440">
        <f t="shared" ref="H116:H118" si="9">G102*$D109</f>
        <v>763.00600381345703</v>
      </c>
      <c r="I116" s="432"/>
      <c r="J116" s="429"/>
      <c r="K116" s="429"/>
      <c r="L116" s="429"/>
      <c r="M116" s="429"/>
      <c r="N116" s="429"/>
      <c r="O116" s="429"/>
    </row>
    <row r="117" spans="2:15" x14ac:dyDescent="0.25">
      <c r="B117" s="441" t="s">
        <v>82</v>
      </c>
      <c r="C117" s="439">
        <f>$C110*C103</f>
        <v>3685.6871653454555</v>
      </c>
      <c r="D117" s="440">
        <f t="shared" si="6"/>
        <v>589.70994645527287</v>
      </c>
      <c r="E117" s="439">
        <f>$C110*E103</f>
        <v>3319.5806349833147</v>
      </c>
      <c r="F117" s="440">
        <f t="shared" si="7"/>
        <v>531.13290159733026</v>
      </c>
      <c r="G117" s="439">
        <f t="shared" si="8"/>
        <v>2944.3578898193664</v>
      </c>
      <c r="H117" s="440">
        <f t="shared" si="9"/>
        <v>471.09726237109862</v>
      </c>
      <c r="I117" s="432"/>
      <c r="J117" s="429"/>
      <c r="K117" s="429"/>
      <c r="L117" s="429"/>
      <c r="M117" s="429"/>
      <c r="N117" s="429"/>
      <c r="O117" s="429"/>
    </row>
    <row r="118" spans="2:15" x14ac:dyDescent="0.25">
      <c r="B118" s="442" t="s">
        <v>197</v>
      </c>
      <c r="C118" s="439">
        <f>$C111*C104</f>
        <v>0</v>
      </c>
      <c r="D118" s="440">
        <f t="shared" si="6"/>
        <v>0</v>
      </c>
      <c r="E118" s="439">
        <f>$C111*E104</f>
        <v>0</v>
      </c>
      <c r="F118" s="440">
        <f t="shared" si="7"/>
        <v>0</v>
      </c>
      <c r="G118" s="439">
        <f t="shared" si="8"/>
        <v>0</v>
      </c>
      <c r="H118" s="440">
        <f t="shared" si="9"/>
        <v>0</v>
      </c>
      <c r="I118" s="432"/>
      <c r="J118" s="429"/>
      <c r="K118" s="429"/>
      <c r="L118" s="429"/>
      <c r="M118" s="429"/>
      <c r="N118" s="429"/>
      <c r="O118" s="429"/>
    </row>
    <row r="119" spans="2:15" x14ac:dyDescent="0.25">
      <c r="B119" s="443" t="s">
        <v>196</v>
      </c>
      <c r="C119" s="444">
        <f>$C112*BEREKENING!$C$61</f>
        <v>9273.6899999999987</v>
      </c>
      <c r="D119" s="445">
        <f>$D112*BEREKENING!$C$61</f>
        <v>1554.6</v>
      </c>
      <c r="E119" s="444">
        <f>$C112*BEREKENING!$C$61</f>
        <v>9273.6899999999987</v>
      </c>
      <c r="F119" s="445">
        <f>$D112*BEREKENING!$C$61</f>
        <v>1554.6</v>
      </c>
      <c r="G119" s="444">
        <f>$C112*BEREKENING!$C$61</f>
        <v>9273.6899999999987</v>
      </c>
      <c r="H119" s="445">
        <f>$D112*BEREKENING!$C$61</f>
        <v>1554.6</v>
      </c>
      <c r="I119" s="432"/>
      <c r="J119" s="429"/>
      <c r="K119" s="429"/>
      <c r="L119" s="429"/>
      <c r="M119" s="429"/>
      <c r="N119" s="429"/>
      <c r="O119" s="429"/>
    </row>
    <row r="120" spans="2:15" x14ac:dyDescent="0.25">
      <c r="B120" s="432" t="s">
        <v>139</v>
      </c>
      <c r="C120" s="446">
        <f t="shared" ref="C120:H120" si="10">SUM(C115:C119)</f>
        <v>20899.179651974137</v>
      </c>
      <c r="D120" s="447">
        <f t="shared" si="10"/>
        <v>3324.5596368776132</v>
      </c>
      <c r="E120" s="446">
        <f t="shared" si="10"/>
        <v>19744.39697799581</v>
      </c>
      <c r="F120" s="447">
        <f t="shared" si="10"/>
        <v>3148.7460768904725</v>
      </c>
      <c r="G120" s="446">
        <f t="shared" si="10"/>
        <v>18560.859703833274</v>
      </c>
      <c r="H120" s="447">
        <f t="shared" si="10"/>
        <v>2968.5546813691562</v>
      </c>
      <c r="I120" s="432"/>
      <c r="J120" s="429"/>
      <c r="K120" s="429"/>
      <c r="L120" s="429"/>
      <c r="M120" s="429"/>
      <c r="N120" s="429"/>
      <c r="O120" s="429"/>
    </row>
    <row r="121" spans="2:15" x14ac:dyDescent="0.25">
      <c r="B121" s="432" t="s">
        <v>140</v>
      </c>
      <c r="C121" s="448">
        <f>C57</f>
        <v>4600.4907115673977</v>
      </c>
      <c r="D121" s="448">
        <f>D57</f>
        <v>894.41470000000004</v>
      </c>
      <c r="E121" s="448">
        <f t="shared" ref="E121:H121" si="11">E57</f>
        <v>4507.1356765673981</v>
      </c>
      <c r="F121" s="448">
        <f t="shared" si="11"/>
        <v>864.41308333333325</v>
      </c>
      <c r="G121" s="448">
        <f t="shared" si="11"/>
        <v>4413.7806415673977</v>
      </c>
      <c r="H121" s="448">
        <f t="shared" si="11"/>
        <v>834.41146666666657</v>
      </c>
      <c r="I121" s="432"/>
      <c r="J121" s="429"/>
      <c r="K121" s="429"/>
      <c r="L121" s="429"/>
      <c r="M121" s="429"/>
      <c r="N121" s="429"/>
      <c r="O121" s="429"/>
    </row>
    <row r="122" spans="2:15" x14ac:dyDescent="0.25">
      <c r="B122" s="432" t="s">
        <v>141</v>
      </c>
      <c r="C122" s="448">
        <f>C120-C121</f>
        <v>16298.688940406739</v>
      </c>
      <c r="D122" s="448">
        <f>D120-D121</f>
        <v>2430.144936877613</v>
      </c>
      <c r="E122" s="448">
        <f t="shared" ref="E122:H122" si="12">E120-E121</f>
        <v>15237.261301428411</v>
      </c>
      <c r="F122" s="448">
        <f t="shared" si="12"/>
        <v>2284.3329935571392</v>
      </c>
      <c r="G122" s="448">
        <f t="shared" si="12"/>
        <v>14147.079062265875</v>
      </c>
      <c r="H122" s="448">
        <f t="shared" si="12"/>
        <v>2134.1432147024898</v>
      </c>
      <c r="I122" s="432"/>
      <c r="J122" s="429"/>
      <c r="K122" s="429"/>
      <c r="L122" s="429"/>
      <c r="M122" s="429"/>
      <c r="N122" s="429"/>
      <c r="O122" s="429"/>
    </row>
    <row r="123" spans="2:15" x14ac:dyDescent="0.25">
      <c r="B123" s="432" t="s">
        <v>142</v>
      </c>
      <c r="C123" s="449">
        <f>C121/C120</f>
        <v>0.22012781306144882</v>
      </c>
      <c r="D123" s="449">
        <f t="shared" ref="D123:H123" si="13">D121/D120</f>
        <v>0.26903253293420348</v>
      </c>
      <c r="E123" s="449">
        <f t="shared" si="13"/>
        <v>0.22827416211244062</v>
      </c>
      <c r="F123" s="449">
        <f t="shared" si="13"/>
        <v>0.27452613269691784</v>
      </c>
      <c r="G123" s="449">
        <f t="shared" si="13"/>
        <v>0.23780044200516443</v>
      </c>
      <c r="H123" s="449">
        <f t="shared" si="13"/>
        <v>0.28108340799766551</v>
      </c>
      <c r="I123" s="432"/>
      <c r="J123" s="429"/>
      <c r="K123" s="429"/>
      <c r="L123" s="429"/>
      <c r="M123" s="429"/>
      <c r="N123" s="429"/>
      <c r="O123" s="429"/>
    </row>
    <row r="124" spans="2:15" x14ac:dyDescent="0.25">
      <c r="B124" s="432" t="s">
        <v>143</v>
      </c>
      <c r="C124" s="450">
        <f>C123*100</f>
        <v>22.012781306144884</v>
      </c>
      <c r="D124" s="450">
        <f t="shared" ref="D124:H124" si="14">D123*100</f>
        <v>26.903253293420349</v>
      </c>
      <c r="E124" s="450">
        <f t="shared" si="14"/>
        <v>22.82741621124406</v>
      </c>
      <c r="F124" s="450">
        <f t="shared" si="14"/>
        <v>27.452613269691785</v>
      </c>
      <c r="G124" s="450">
        <f t="shared" si="14"/>
        <v>23.780044200516443</v>
      </c>
      <c r="H124" s="450">
        <f t="shared" si="14"/>
        <v>28.108340799766552</v>
      </c>
      <c r="I124" s="432"/>
      <c r="J124" s="429"/>
      <c r="K124" s="429"/>
      <c r="L124" s="429"/>
      <c r="M124" s="429"/>
      <c r="N124" s="429"/>
      <c r="O124" s="429"/>
    </row>
    <row r="125" spans="2:15" x14ac:dyDescent="0.25">
      <c r="E125" s="1"/>
      <c r="F125" s="1"/>
    </row>
    <row r="126" spans="2:15" x14ac:dyDescent="0.25">
      <c r="C126" s="213">
        <f>(ACHTER_INVOER!$B$3*BEREKENING!C121+ACHTER_INVOER!$B$4*G121+ACHTER_INVOER!$B$5*E121)/SUM(ACHTER_INVOER!$B$3:$B$5)</f>
        <v>4600.4907115673977</v>
      </c>
      <c r="D126" s="213">
        <f>(ACHTER_INVOER!$B$3*BEREKENING!D121+ACHTER_INVOER!$B$4*H121+ACHTER_INVOER!$B$5*F121)/SUM(ACHTER_INVOER!$B$3:$B$5)</f>
        <v>894.41470000000004</v>
      </c>
      <c r="E126" s="1">
        <v>2689.6624517711598</v>
      </c>
      <c r="F126" s="1">
        <v>935.18095000000005</v>
      </c>
    </row>
    <row r="127" spans="2:15" x14ac:dyDescent="0.25">
      <c r="E127" s="212">
        <v>12239.182638896051</v>
      </c>
      <c r="F127" s="212">
        <v>1283.584695255538</v>
      </c>
    </row>
    <row r="128" spans="2:15" x14ac:dyDescent="0.25">
      <c r="B128" s="119" t="s">
        <v>123</v>
      </c>
      <c r="C128" s="127">
        <v>1</v>
      </c>
    </row>
    <row r="129" spans="2:5" x14ac:dyDescent="0.25">
      <c r="B129" s="65" t="s">
        <v>124</v>
      </c>
      <c r="C129" s="128">
        <f>1-C128</f>
        <v>0</v>
      </c>
    </row>
    <row r="130" spans="2:5" x14ac:dyDescent="0.25">
      <c r="B130" s="65" t="s">
        <v>119</v>
      </c>
      <c r="C130" s="128">
        <v>1</v>
      </c>
    </row>
    <row r="131" spans="2:5" x14ac:dyDescent="0.25">
      <c r="B131" s="65" t="s">
        <v>120</v>
      </c>
      <c r="C131" s="128">
        <f>1-C130</f>
        <v>0</v>
      </c>
    </row>
    <row r="132" spans="2:5" x14ac:dyDescent="0.25">
      <c r="B132" s="65" t="s">
        <v>121</v>
      </c>
      <c r="C132" s="128">
        <v>1</v>
      </c>
    </row>
    <row r="133" spans="2:5" x14ac:dyDescent="0.25">
      <c r="B133" s="66" t="s">
        <v>122</v>
      </c>
      <c r="C133" s="129">
        <f>1-C132</f>
        <v>0</v>
      </c>
    </row>
    <row r="134" spans="2:5" x14ac:dyDescent="0.25">
      <c r="B134" s="99"/>
      <c r="C134" s="118"/>
    </row>
    <row r="135" spans="2:5" x14ac:dyDescent="0.25">
      <c r="B135" s="122"/>
      <c r="C135" s="124" t="s">
        <v>130</v>
      </c>
      <c r="D135" s="125" t="s">
        <v>128</v>
      </c>
      <c r="E135" s="121" t="s">
        <v>129</v>
      </c>
    </row>
    <row r="136" spans="2:5" x14ac:dyDescent="0.25">
      <c r="B136" s="123"/>
      <c r="C136" s="120" t="s">
        <v>131</v>
      </c>
      <c r="D136" s="120"/>
      <c r="E136" s="126" t="s">
        <v>132</v>
      </c>
    </row>
    <row r="137" spans="2:5" x14ac:dyDescent="0.25">
      <c r="B137" s="65" t="s">
        <v>125</v>
      </c>
      <c r="C137" s="152">
        <v>136.69999999999999</v>
      </c>
      <c r="D137" s="152">
        <v>120.6</v>
      </c>
      <c r="E137" s="153">
        <v>109.5</v>
      </c>
    </row>
    <row r="138" spans="2:5" x14ac:dyDescent="0.25">
      <c r="B138" s="65" t="s">
        <v>126</v>
      </c>
      <c r="C138" s="152">
        <v>36.799999999999997</v>
      </c>
      <c r="D138" s="152">
        <v>34.5</v>
      </c>
      <c r="E138" s="153">
        <v>29.4</v>
      </c>
    </row>
    <row r="139" spans="2:5" x14ac:dyDescent="0.25">
      <c r="B139" s="66" t="s">
        <v>127</v>
      </c>
      <c r="C139" s="154">
        <v>78.900000000000006</v>
      </c>
      <c r="D139" s="154">
        <v>73.900000000000006</v>
      </c>
      <c r="E139" s="155">
        <v>63.1</v>
      </c>
    </row>
    <row r="140" spans="2:5" x14ac:dyDescent="0.25">
      <c r="C140" s="118"/>
    </row>
    <row r="142" spans="2:5" x14ac:dyDescent="0.25">
      <c r="B142" s="104" t="s">
        <v>133</v>
      </c>
      <c r="C142" s="150">
        <f>ACHTER_INVOER!B7*BEREKENING!C128*BEREKENING!D137+ACHTER_INVOER!B7*BEREKENING!C129*BEREKENING!E137+ACHTER_INVOER!B13*BEREKENING!C130*BEREKENING!D138+ACHTER_INVOER!B13*BEREKENING!C131*BEREKENING!E138+ACHTER_INVOER!B15*BEREKENING!C132*BEREKENING!D139+ACHTER_INVOER!B15*BEREKENING!C133*BEREKENING!E139</f>
        <v>15841.75</v>
      </c>
    </row>
    <row r="143" spans="2:5" x14ac:dyDescent="0.25">
      <c r="B143" s="148" t="s">
        <v>134</v>
      </c>
      <c r="C143" s="151">
        <f>ACHTER_INVOER!B7*C137+ACHTER_INVOER!B13*C138+ACHTER_INVOER!B15*C139</f>
        <v>17706.25</v>
      </c>
    </row>
    <row r="144" spans="2:5" x14ac:dyDescent="0.25">
      <c r="B144" s="149" t="s">
        <v>135</v>
      </c>
      <c r="C144" s="156">
        <f>C142/C143</f>
        <v>0.89469819978821041</v>
      </c>
    </row>
    <row r="145" spans="2:10" x14ac:dyDescent="0.25">
      <c r="E145" s="103"/>
      <c r="F145" s="103"/>
      <c r="G145" s="103"/>
      <c r="H145" s="103"/>
    </row>
    <row r="146" spans="2:10" x14ac:dyDescent="0.25">
      <c r="B146" s="131" t="s">
        <v>136</v>
      </c>
      <c r="C146" s="141" t="s">
        <v>185</v>
      </c>
      <c r="D146" s="142" t="s">
        <v>145</v>
      </c>
      <c r="E146" s="194" t="s">
        <v>185</v>
      </c>
      <c r="F146" s="194" t="s">
        <v>145</v>
      </c>
      <c r="G146" s="195" t="s">
        <v>185</v>
      </c>
      <c r="H146" s="196" t="s">
        <v>145</v>
      </c>
    </row>
    <row r="147" spans="2:10" x14ac:dyDescent="0.25">
      <c r="B147" s="192"/>
      <c r="C147" s="187">
        <f>C122*$C144</f>
        <v>14582.407653889924</v>
      </c>
      <c r="D147" s="193">
        <f>D122*2.29</f>
        <v>5565.031905449734</v>
      </c>
      <c r="E147" s="187">
        <f>E122*$C144</f>
        <v>13632.750256090563</v>
      </c>
      <c r="F147" s="193">
        <f>F122*2.29</f>
        <v>5231.1225552458491</v>
      </c>
      <c r="G147" s="187">
        <f>G122*$C144</f>
        <v>12657.366169270763</v>
      </c>
      <c r="H147" s="193">
        <f>H122*2.29</f>
        <v>4887.187961668702</v>
      </c>
    </row>
    <row r="148" spans="2:10" x14ac:dyDescent="0.25">
      <c r="B148" s="131" t="s">
        <v>207</v>
      </c>
      <c r="C148" s="213">
        <f>(ACHTER_INVOER!$B3*BEREKENING!C147+BEREKENING!E147*ACHTER_INVOER!$B5+BEREKENING!G147*ACHTER_INVOER!$B4)/SUM(ACHTER_INVOER!$B3:$B5)</f>
        <v>14582.407653889924</v>
      </c>
      <c r="D148" s="213">
        <f>(ACHTER_INVOER!$B3*BEREKENING!D147+BEREKENING!F147*ACHTER_INVOER!$B5+BEREKENING!H147*ACHTER_INVOER!$B4)/SUM(ACHTER_INVOER!$B3:$B5)</f>
        <v>5565.031905449734</v>
      </c>
    </row>
    <row r="149" spans="2:10" x14ac:dyDescent="0.25">
      <c r="B149" s="7"/>
      <c r="C149" s="7" t="b">
        <f>ACHTER_INVOER!Z54&gt;0</f>
        <v>1</v>
      </c>
    </row>
    <row r="150" spans="2:10" x14ac:dyDescent="0.25">
      <c r="B150" s="212" t="s">
        <v>199</v>
      </c>
    </row>
    <row r="151" spans="2:10" s="380" customFormat="1" x14ac:dyDescent="0.25">
      <c r="B151" s="380" t="s">
        <v>200</v>
      </c>
      <c r="C151" s="381">
        <f>IF(C$101&gt;D$101,C101/0.96,D101/0.96)</f>
        <v>46530.740329695342</v>
      </c>
      <c r="D151" s="382">
        <f>C151/C$156*100</f>
        <v>5.9015900373803669</v>
      </c>
      <c r="E151" s="381">
        <f t="shared" ref="E151:G151" si="15">IF(E$101&gt;F$101,E101/0.96,F101/0.96)</f>
        <v>41908.750688941385</v>
      </c>
      <c r="F151" s="381">
        <f>E151/E$156*100</f>
        <v>5.7256717524555647</v>
      </c>
      <c r="G151" s="381">
        <f t="shared" si="15"/>
        <v>37171.671458457458</v>
      </c>
      <c r="H151" s="382">
        <f>G151/G$156*100</f>
        <v>5.514770601375595</v>
      </c>
      <c r="J151" s="382">
        <f>D151/SUM($D$151:$D$154)*100</f>
        <v>8.1805943015792426</v>
      </c>
    </row>
    <row r="152" spans="2:10" s="380" customFormat="1" x14ac:dyDescent="0.25">
      <c r="B152" s="380" t="s">
        <v>201</v>
      </c>
      <c r="C152" s="381">
        <f>IF(ACHTER_INVOER!$Z54&gt;0,IF(C$101&gt;D$101,C102/ACHTER_INVOER!$Z54*1000,D102/ACHTER_INVOER!$Z54*1000))</f>
        <v>227408.41819312918</v>
      </c>
      <c r="D152" s="382">
        <f t="shared" ref="D152:F155" si="16">C152/C$156*100</f>
        <v>28.842680037233499</v>
      </c>
      <c r="E152" s="381">
        <f>IF(ACHTER_INVOER!$Z54&gt;0,IF(E$101&gt;F$101,E102/ACHTER_INVOER!$Z54*1000,F102/ACHTER_INVOER!$Z54*1000))</f>
        <v>204819.49427613529</v>
      </c>
      <c r="F152" s="381">
        <f t="shared" si="16"/>
        <v>27.982919401091916</v>
      </c>
      <c r="G152" s="381">
        <f>IF(ACHTER_INVOER!$Z54&gt;0,IF(G$101&gt;H$101,G102/ACHTER_INVOER!$Z54*1000,H102/ACHTER_INVOER!$Z54*1000))</f>
        <v>181668.09614606117</v>
      </c>
      <c r="H152" s="382">
        <f t="shared" ref="H152" si="17">G152/G$156*100</f>
        <v>26.952187957268364</v>
      </c>
      <c r="J152" s="382">
        <f t="shared" ref="J152:J154" si="18">D152/SUM($D$151:$D$154)*100</f>
        <v>39.980795422990916</v>
      </c>
    </row>
    <row r="153" spans="2:10" s="380" customFormat="1" x14ac:dyDescent="0.25">
      <c r="B153" s="380" t="s">
        <v>212</v>
      </c>
      <c r="C153" s="381">
        <f>IF(ACHTER_INVOER!$Z63&gt;0,IF(C$101&gt;D$101,C103/ACHTER_INVOER!$Z55*1000,D103/ACHTER_INVOER!$Z63*1000),0)</f>
        <v>294854.97322763642</v>
      </c>
      <c r="D153" s="382">
        <f t="shared" si="16"/>
        <v>37.397066114629503</v>
      </c>
      <c r="E153" s="381">
        <f>IF(ACHTER_INVOER!$Z63&gt;0,IF(E$101&gt;F$101,E103/ACHTER_INVOER!$Z55*1000,F103/ACHTER_INVOER!$Z63*1000),0)</f>
        <v>265566.45079866512</v>
      </c>
      <c r="F153" s="381">
        <f t="shared" si="16"/>
        <v>36.282310990936544</v>
      </c>
      <c r="G153" s="381">
        <f>IF(ACHTER_INVOER!$Z63&gt;0,IF(G$101&gt;H$101,G103/ACHTER_INVOER!$Z55*1000,H103/ACHTER_INVOER!$Z63*1000),0)</f>
        <v>235548.63118554931</v>
      </c>
      <c r="H153" s="382">
        <f t="shared" ref="H153" si="19">G153/G$156*100</f>
        <v>34.945877209424673</v>
      </c>
      <c r="J153" s="382">
        <f t="shared" si="18"/>
        <v>51.838610275429851</v>
      </c>
    </row>
    <row r="154" spans="2:10" s="380" customFormat="1" x14ac:dyDescent="0.25">
      <c r="B154" s="380" t="s">
        <v>202</v>
      </c>
      <c r="C154" s="381">
        <f>IF(ACHTER_INVOER!$Z72&gt;0,IF(C$101&gt;D$101,C104/ACHTER_INVOER!$Z72*1000,D104/ACHTER_INVOER!$Z72*1000),0)</f>
        <v>0</v>
      </c>
      <c r="D154" s="382">
        <f t="shared" si="16"/>
        <v>0</v>
      </c>
      <c r="E154" s="381">
        <f>IF(ACHTER_INVOER!$Z72&gt;0,IF(E$101&gt;F$101,E104/ACHTER_INVOER!$Z72*1000,F104/ACHTER_INVOER!$Z72*1000),0)</f>
        <v>0</v>
      </c>
      <c r="F154" s="381">
        <f t="shared" si="16"/>
        <v>0</v>
      </c>
      <c r="G154" s="381">
        <f>IF(ACHTER_INVOER!$Z72&gt;0,IF(G$101&gt;H$101,G104/ACHTER_INVOER!$Z72*1000,H104/ACHTER_INVOER!$Z72*1000),0)</f>
        <v>0</v>
      </c>
      <c r="H154" s="382">
        <f t="shared" ref="H154" si="20">G154/G$156*100</f>
        <v>0</v>
      </c>
      <c r="J154" s="382">
        <f t="shared" si="18"/>
        <v>0</v>
      </c>
    </row>
    <row r="155" spans="2:10" s="380" customFormat="1" x14ac:dyDescent="0.25">
      <c r="B155" s="380" t="s">
        <v>193</v>
      </c>
      <c r="C155" s="381">
        <f>IF($G61&gt;0,$C61/$G61*1000,0)</f>
        <v>219649.99999999997</v>
      </c>
      <c r="D155" s="382">
        <f t="shared" si="16"/>
        <v>27.858663810756628</v>
      </c>
      <c r="E155" s="381">
        <f>IF($G61&gt;0,$C61/$G61*1000,0)</f>
        <v>219649.99999999997</v>
      </c>
      <c r="F155" s="381">
        <f t="shared" si="16"/>
        <v>30.009097855515975</v>
      </c>
      <c r="G155" s="381">
        <f t="shared" ref="G155" si="21">IF($G61&gt;0,$C61/$G61*1000,0)</f>
        <v>219649.99999999997</v>
      </c>
      <c r="H155" s="382">
        <f t="shared" ref="H155" si="22">G155/G$156*100</f>
        <v>32.587164231931375</v>
      </c>
    </row>
    <row r="156" spans="2:10" s="380" customFormat="1" x14ac:dyDescent="0.25">
      <c r="C156" s="381">
        <f>SUM(C151:C155)</f>
        <v>788444.13175046095</v>
      </c>
      <c r="D156" s="381">
        <f>SUM(D151:D155)</f>
        <v>99.999999999999986</v>
      </c>
      <c r="E156" s="381">
        <f t="shared" ref="E156" si="23">SUM(E151:E155)</f>
        <v>731944.69576374174</v>
      </c>
      <c r="F156" s="381">
        <f>SUM(F151:F155)</f>
        <v>100</v>
      </c>
      <c r="G156" s="381">
        <f t="shared" ref="G156" si="24">SUM(G151:G155)</f>
        <v>674038.39879006788</v>
      </c>
      <c r="H156" s="381">
        <f>SUM(H151:H155)</f>
        <v>100</v>
      </c>
      <c r="J156" s="381">
        <f>C156*6.25</f>
        <v>4927775.8234403813</v>
      </c>
    </row>
    <row r="157" spans="2:10" s="380" customFormat="1" x14ac:dyDescent="0.25">
      <c r="B157" s="380" t="s">
        <v>203</v>
      </c>
      <c r="C157" s="380">
        <f>D17</f>
        <v>56480</v>
      </c>
      <c r="D157" s="381"/>
      <c r="E157" s="380">
        <f t="shared" ref="E157:G157" si="25">F17</f>
        <v>48000</v>
      </c>
      <c r="G157" s="380">
        <f t="shared" si="25"/>
        <v>39520</v>
      </c>
    </row>
    <row r="158" spans="2:10" s="380" customFormat="1" x14ac:dyDescent="0.25">
      <c r="B158" s="380" t="s">
        <v>204</v>
      </c>
      <c r="C158" s="380">
        <f t="shared" ref="C158:G158" si="26">D18</f>
        <v>84500</v>
      </c>
      <c r="D158" s="381"/>
      <c r="E158" s="380">
        <f t="shared" si="26"/>
        <v>71825</v>
      </c>
      <c r="G158" s="380">
        <f t="shared" si="26"/>
        <v>59150</v>
      </c>
    </row>
    <row r="159" spans="2:10" x14ac:dyDescent="0.25">
      <c r="C159" s="213">
        <f>C156-C157-C158</f>
        <v>647464.13175046095</v>
      </c>
      <c r="D159" s="213"/>
      <c r="E159" s="213">
        <f t="shared" ref="E159:G159" si="27">E156-E157-E158</f>
        <v>612119.69576374174</v>
      </c>
      <c r="F159" s="213"/>
      <c r="G159" s="213">
        <f t="shared" si="27"/>
        <v>575368.39879006788</v>
      </c>
    </row>
    <row r="160" spans="2:10" x14ac:dyDescent="0.25">
      <c r="C160" s="1">
        <f>C159/(365*ACHTER_INVOER!$B7)</f>
        <v>17.738743335629067</v>
      </c>
      <c r="D160" s="213"/>
      <c r="E160" s="1">
        <f>E159/(365*ACHTER_INVOER!$B7)</f>
        <v>16.770402623664157</v>
      </c>
      <c r="F160" s="1"/>
      <c r="G160" s="1">
        <f>G159/(365*ACHTER_INVOER!$B7)</f>
        <v>15.763517775070353</v>
      </c>
    </row>
    <row r="161" spans="2:7" x14ac:dyDescent="0.25">
      <c r="B161" s="212" t="str">
        <f>B151</f>
        <v>Weidegras</v>
      </c>
      <c r="C161" s="1">
        <f>C$160*C151/C$156</f>
        <v>1.0468679094519588</v>
      </c>
      <c r="D161" s="213"/>
      <c r="E161" s="1">
        <f t="shared" ref="E161:G161" si="28">E$160*E151/E$156</f>
        <v>0.96021820579620565</v>
      </c>
      <c r="F161" s="1"/>
      <c r="G161" s="1">
        <f t="shared" si="28"/>
        <v>0.86932184400219614</v>
      </c>
    </row>
    <row r="162" spans="2:7" x14ac:dyDescent="0.25">
      <c r="B162" s="212" t="str">
        <f t="shared" ref="B162:B165" si="29">B152</f>
        <v>Grassilage</v>
      </c>
      <c r="C162" s="1">
        <f t="shared" ref="C162:G165" si="30">C$160*C152/C$156</f>
        <v>5.1163289829215728</v>
      </c>
      <c r="D162" s="213"/>
      <c r="E162" s="1">
        <f t="shared" si="30"/>
        <v>4.6928482494185459</v>
      </c>
      <c r="F162" s="1"/>
      <c r="G162" s="1">
        <f t="shared" si="30"/>
        <v>4.248612939414369</v>
      </c>
    </row>
    <row r="163" spans="2:7" x14ac:dyDescent="0.25">
      <c r="B163" s="212" t="str">
        <f t="shared" si="29"/>
        <v>Snijmais aanpassing nodig</v>
      </c>
      <c r="C163" s="1">
        <f t="shared" si="30"/>
        <v>6.6337695731296371</v>
      </c>
      <c r="D163" s="130"/>
      <c r="E163" s="1">
        <f t="shared" si="30"/>
        <v>6.0846896343500108</v>
      </c>
      <c r="F163" s="1"/>
      <c r="G163" s="1">
        <f t="shared" si="30"/>
        <v>5.5086995655619182</v>
      </c>
    </row>
    <row r="164" spans="2:7" x14ac:dyDescent="0.25">
      <c r="B164" s="212" t="str">
        <f t="shared" si="29"/>
        <v>Overige</v>
      </c>
      <c r="C164" s="1">
        <f t="shared" si="30"/>
        <v>0</v>
      </c>
      <c r="D164" s="213"/>
      <c r="E164" s="1">
        <f t="shared" si="30"/>
        <v>0</v>
      </c>
      <c r="F164" s="1"/>
      <c r="G164" s="1">
        <f t="shared" si="30"/>
        <v>0</v>
      </c>
    </row>
    <row r="165" spans="2:7" x14ac:dyDescent="0.25">
      <c r="B165" s="212" t="str">
        <f t="shared" si="29"/>
        <v>Krachtvoer + bijproducten</v>
      </c>
      <c r="C165" s="1">
        <f t="shared" si="30"/>
        <v>4.9417768701258984</v>
      </c>
      <c r="D165" s="213"/>
      <c r="E165" s="1">
        <f t="shared" si="30"/>
        <v>5.0326465340993956</v>
      </c>
      <c r="F165" s="1"/>
      <c r="G165" s="1">
        <f t="shared" si="30"/>
        <v>5.1368834260918703</v>
      </c>
    </row>
    <row r="166" spans="2:7" x14ac:dyDescent="0.25">
      <c r="C166" s="1">
        <f>SUM(C161:C165)</f>
        <v>17.738743335629067</v>
      </c>
      <c r="E166" s="1">
        <f>SUM(E161:E165)</f>
        <v>16.770402623664157</v>
      </c>
      <c r="G166" s="1">
        <f>SUM(G161:G165)</f>
        <v>15.763517775070355</v>
      </c>
    </row>
    <row r="167" spans="2:7" x14ac:dyDescent="0.25">
      <c r="C167" s="1">
        <f>365/(INVOERPAGINA!$F29*30.5)*C161</f>
        <v>2.2778347955288525</v>
      </c>
      <c r="E167" s="1">
        <f>365/(INVOERPAGINA!$F29*30.5)*E161</f>
        <v>2.0892974373509094</v>
      </c>
      <c r="G167" s="1">
        <f>365/(INVOERPAGINA!$F29*30.5)*G161</f>
        <v>1.8915199586336906</v>
      </c>
    </row>
    <row r="168" spans="2:7" x14ac:dyDescent="0.25">
      <c r="C168" s="102">
        <f>C166-C167</f>
        <v>15.460908540100215</v>
      </c>
      <c r="E168" s="1">
        <f>E166-E167</f>
        <v>14.681105186313248</v>
      </c>
      <c r="G168" s="1">
        <f>G166-G167</f>
        <v>13.871997816436664</v>
      </c>
    </row>
    <row r="170" spans="2:7" x14ac:dyDescent="0.25">
      <c r="C170" s="213">
        <f>C156-C151</f>
        <v>741913.39142076555</v>
      </c>
      <c r="E170" s="213">
        <f>E156-E151</f>
        <v>690035.9450748004</v>
      </c>
      <c r="G170" s="213">
        <f>G156-G151</f>
        <v>636866.7273316104</v>
      </c>
    </row>
    <row r="171" spans="2:7" x14ac:dyDescent="0.25">
      <c r="B171" s="212" t="str">
        <f>B152</f>
        <v>Grassilage</v>
      </c>
      <c r="C171" s="102">
        <f>C152/C$170</f>
        <v>0.30651612549766977</v>
      </c>
      <c r="D171" s="102"/>
      <c r="E171" s="102">
        <f>E152/E$170</f>
        <v>0.29682438391514909</v>
      </c>
      <c r="F171" s="102"/>
      <c r="G171" s="102">
        <f>G152/G$170</f>
        <v>0.28525292396295709</v>
      </c>
    </row>
    <row r="172" spans="2:7" x14ac:dyDescent="0.25">
      <c r="B172" s="212" t="str">
        <f t="shared" ref="B172:B174" si="31">B153</f>
        <v>Snijmais aanpassing nodig</v>
      </c>
      <c r="C172" s="102">
        <f t="shared" ref="C172:C174" si="32">C153/C$170</f>
        <v>0.39742505882389939</v>
      </c>
      <c r="D172" s="102"/>
      <c r="E172" s="102">
        <f t="shared" ref="E172:G172" si="33">E153/E$170</f>
        <v>0.38485886524342949</v>
      </c>
      <c r="F172" s="102"/>
      <c r="G172" s="102">
        <f t="shared" si="33"/>
        <v>0.36985545181873097</v>
      </c>
    </row>
    <row r="173" spans="2:7" x14ac:dyDescent="0.25">
      <c r="B173" s="212" t="str">
        <f t="shared" si="31"/>
        <v>Overige</v>
      </c>
      <c r="C173" s="102">
        <f t="shared" si="32"/>
        <v>0</v>
      </c>
      <c r="D173" s="102"/>
      <c r="E173" s="102">
        <f t="shared" ref="E173:G173" si="34">E154/E$170</f>
        <v>0</v>
      </c>
      <c r="F173" s="102"/>
      <c r="G173" s="102">
        <f t="shared" si="34"/>
        <v>0</v>
      </c>
    </row>
    <row r="174" spans="2:7" x14ac:dyDescent="0.25">
      <c r="B174" s="212" t="str">
        <f t="shared" si="31"/>
        <v>Krachtvoer + bijproducten</v>
      </c>
      <c r="C174" s="102">
        <f t="shared" si="32"/>
        <v>0.2960588156784309</v>
      </c>
      <c r="D174" s="102"/>
      <c r="E174" s="102">
        <f t="shared" ref="E174:G174" si="35">E155/E$170</f>
        <v>0.31831675084142136</v>
      </c>
      <c r="F174" s="102"/>
      <c r="G174" s="102">
        <f t="shared" si="35"/>
        <v>0.34489162421831204</v>
      </c>
    </row>
    <row r="175" spans="2:7" x14ac:dyDescent="0.25">
      <c r="C175" s="102">
        <f>SUM(C171:C174)</f>
        <v>1</v>
      </c>
      <c r="D175" s="102"/>
      <c r="E175" s="102">
        <f>SUM(E171:E174)</f>
        <v>1</v>
      </c>
      <c r="F175" s="102"/>
      <c r="G175" s="102">
        <f>SUM(G171:G174)</f>
        <v>1</v>
      </c>
    </row>
    <row r="176" spans="2:7" x14ac:dyDescent="0.25">
      <c r="E176" s="1"/>
    </row>
    <row r="177" spans="2:7" x14ac:dyDescent="0.25">
      <c r="B177" s="222" t="s">
        <v>205</v>
      </c>
      <c r="C177" s="223"/>
      <c r="D177" s="223"/>
      <c r="E177" s="224"/>
      <c r="F177" s="223"/>
      <c r="G177" s="225"/>
    </row>
    <row r="178" spans="2:7" x14ac:dyDescent="0.25">
      <c r="B178" s="3" t="str">
        <f>B161</f>
        <v>Weidegras</v>
      </c>
      <c r="C178" s="219">
        <f>C167</f>
        <v>2.2778347955288525</v>
      </c>
      <c r="D178" s="7"/>
      <c r="E178" s="219">
        <f>E167</f>
        <v>2.0892974373509094</v>
      </c>
      <c r="F178" s="7"/>
      <c r="G178" s="110">
        <f>G167</f>
        <v>1.8915199586336906</v>
      </c>
    </row>
    <row r="179" spans="2:7" x14ac:dyDescent="0.25">
      <c r="B179" s="3" t="str">
        <f>B162</f>
        <v>Grassilage</v>
      </c>
      <c r="C179" s="219">
        <f>C171*C$168</f>
        <v>4.7390177823853517</v>
      </c>
      <c r="D179" s="7"/>
      <c r="E179" s="219">
        <f>E171*E$168</f>
        <v>4.3577100021209301</v>
      </c>
      <c r="F179" s="7"/>
      <c r="G179" s="110">
        <f>G171*G$168</f>
        <v>3.9570279383463145</v>
      </c>
    </row>
    <row r="180" spans="2:7" x14ac:dyDescent="0.25">
      <c r="B180" s="3" t="str">
        <f>B163</f>
        <v>Snijmais aanpassing nodig</v>
      </c>
      <c r="C180" s="219">
        <f t="shared" ref="C180:C182" si="36">C172*C$168</f>
        <v>6.1445524860202561</v>
      </c>
      <c r="D180" s="7"/>
      <c r="E180" s="219">
        <f t="shared" ref="E180:G180" si="37">E172*E$168</f>
        <v>5.6501534825239439</v>
      </c>
      <c r="F180" s="7"/>
      <c r="G180" s="110">
        <f t="shared" si="37"/>
        <v>5.1306340200266316</v>
      </c>
    </row>
    <row r="181" spans="2:7" x14ac:dyDescent="0.25">
      <c r="B181" s="3" t="str">
        <f>B164</f>
        <v>Overige</v>
      </c>
      <c r="C181" s="219">
        <f t="shared" si="36"/>
        <v>0</v>
      </c>
      <c r="D181" s="7"/>
      <c r="E181" s="219">
        <f t="shared" ref="E181:G181" si="38">E173*E$168</f>
        <v>0</v>
      </c>
      <c r="F181" s="7"/>
      <c r="G181" s="110">
        <f t="shared" si="38"/>
        <v>0</v>
      </c>
    </row>
    <row r="182" spans="2:7" x14ac:dyDescent="0.25">
      <c r="B182" s="3" t="str">
        <f>B165</f>
        <v>Krachtvoer + bijproducten</v>
      </c>
      <c r="C182" s="219">
        <f t="shared" si="36"/>
        <v>4.5773382716946074</v>
      </c>
      <c r="D182" s="7"/>
      <c r="E182" s="219">
        <f t="shared" ref="E182:G182" si="39">E174*E$168</f>
        <v>4.6732417016683732</v>
      </c>
      <c r="F182" s="7"/>
      <c r="G182" s="110">
        <f t="shared" si="39"/>
        <v>4.7843358580637192</v>
      </c>
    </row>
    <row r="183" spans="2:7" x14ac:dyDescent="0.25">
      <c r="B183" s="3"/>
      <c r="C183" s="7"/>
      <c r="D183" s="7"/>
      <c r="E183" s="219"/>
      <c r="F183" s="7"/>
      <c r="G183" s="110"/>
    </row>
    <row r="184" spans="2:7" x14ac:dyDescent="0.25">
      <c r="B184" s="222" t="s">
        <v>206</v>
      </c>
      <c r="C184" s="223"/>
      <c r="D184" s="223"/>
      <c r="E184" s="224"/>
      <c r="F184" s="223"/>
      <c r="G184" s="226"/>
    </row>
    <row r="185" spans="2:7" x14ac:dyDescent="0.25">
      <c r="B185" s="3" t="str">
        <f>B179</f>
        <v>Grassilage</v>
      </c>
      <c r="C185" s="219">
        <f>C171*C$166</f>
        <v>5.437210878434632</v>
      </c>
      <c r="D185" s="7"/>
      <c r="E185" s="219">
        <f>E171*E$166</f>
        <v>4.9778644267781136</v>
      </c>
      <c r="F185" s="7"/>
      <c r="G185" s="110">
        <f>G171*G$166</f>
        <v>4.4965895372808662</v>
      </c>
    </row>
    <row r="186" spans="2:7" x14ac:dyDescent="0.25">
      <c r="B186" s="3" t="str">
        <f t="shared" ref="B186:B188" si="40">B180</f>
        <v>Snijmais aanpassing nodig</v>
      </c>
      <c r="C186" s="219">
        <f t="shared" ref="C186:C188" si="41">C172*C$166</f>
        <v>7.0498211136244349</v>
      </c>
      <c r="D186" s="7"/>
      <c r="E186" s="219">
        <f t="shared" ref="E186:G186" si="42">E172*E$166</f>
        <v>6.4542381234188202</v>
      </c>
      <c r="F186" s="7"/>
      <c r="G186" s="110">
        <f t="shared" si="42"/>
        <v>5.8302229889512427</v>
      </c>
    </row>
    <row r="187" spans="2:7" x14ac:dyDescent="0.25">
      <c r="B187" s="3" t="str">
        <f t="shared" si="40"/>
        <v>Overige</v>
      </c>
      <c r="C187" s="219">
        <f t="shared" si="41"/>
        <v>0</v>
      </c>
      <c r="D187" s="7"/>
      <c r="E187" s="219">
        <f t="shared" ref="E187:G187" si="43">E173*E$166</f>
        <v>0</v>
      </c>
      <c r="F187" s="7"/>
      <c r="G187" s="110">
        <f t="shared" si="43"/>
        <v>0</v>
      </c>
    </row>
    <row r="188" spans="2:7" x14ac:dyDescent="0.25">
      <c r="B188" s="24" t="str">
        <f t="shared" si="40"/>
        <v>Krachtvoer + bijproducten</v>
      </c>
      <c r="C188" s="220">
        <f t="shared" si="41"/>
        <v>5.2517113435700002</v>
      </c>
      <c r="D188" s="106"/>
      <c r="E188" s="220">
        <f t="shared" ref="E188:G188" si="44">E174*E$166</f>
        <v>5.3383000734672228</v>
      </c>
      <c r="F188" s="106"/>
      <c r="G188" s="221">
        <f t="shared" si="44"/>
        <v>5.4367052488382468</v>
      </c>
    </row>
  </sheetData>
  <sheetProtection password="9B8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G24" sqref="G24"/>
    </sheetView>
  </sheetViews>
  <sheetFormatPr defaultRowHeight="15" x14ac:dyDescent="0.25"/>
  <cols>
    <col min="2" max="2" width="30.28515625" bestFit="1" customWidth="1"/>
    <col min="7" max="7" width="9.5703125" bestFit="1" customWidth="1"/>
  </cols>
  <sheetData>
    <row r="2" spans="2:7" x14ac:dyDescent="0.3">
      <c r="B2" s="372" t="s">
        <v>213</v>
      </c>
      <c r="G2" s="212" t="s">
        <v>149</v>
      </c>
    </row>
    <row r="3" spans="2:7" x14ac:dyDescent="0.3">
      <c r="B3" s="372" t="s">
        <v>214</v>
      </c>
      <c r="G3" s="212" t="s">
        <v>148</v>
      </c>
    </row>
    <row r="4" spans="2:7" x14ac:dyDescent="0.3">
      <c r="B4" s="372" t="s">
        <v>115</v>
      </c>
      <c r="G4" s="212" t="s">
        <v>151</v>
      </c>
    </row>
    <row r="5" spans="2:7" x14ac:dyDescent="0.3">
      <c r="B5" s="372" t="s">
        <v>64</v>
      </c>
    </row>
    <row r="6" spans="2:7" x14ac:dyDescent="0.3">
      <c r="B6" s="372" t="s">
        <v>68</v>
      </c>
    </row>
    <row r="7" spans="2:7" x14ac:dyDescent="0.3">
      <c r="B7" s="372" t="s">
        <v>69</v>
      </c>
      <c r="G7" s="212" t="s">
        <v>164</v>
      </c>
    </row>
    <row r="8" spans="2:7" x14ac:dyDescent="0.3">
      <c r="G8" s="212" t="s">
        <v>165</v>
      </c>
    </row>
    <row r="10" spans="2:7" x14ac:dyDescent="0.25">
      <c r="B10" t="s">
        <v>248</v>
      </c>
    </row>
    <row r="11" spans="2:7" x14ac:dyDescent="0.25">
      <c r="B11" t="s">
        <v>249</v>
      </c>
    </row>
    <row r="12" spans="2:7" x14ac:dyDescent="0.25">
      <c r="B12" t="s">
        <v>250</v>
      </c>
    </row>
    <row r="13" spans="2:7" x14ac:dyDescent="0.25">
      <c r="B13" t="s">
        <v>251</v>
      </c>
    </row>
    <row r="14" spans="2:7" x14ac:dyDescent="0.25">
      <c r="B14" t="s">
        <v>252</v>
      </c>
    </row>
    <row r="15" spans="2:7" x14ac:dyDescent="0.25">
      <c r="B15" t="s">
        <v>253</v>
      </c>
    </row>
    <row r="16" spans="2:7" x14ac:dyDescent="0.25">
      <c r="B16" t="s">
        <v>254</v>
      </c>
    </row>
    <row r="17" spans="2:2" x14ac:dyDescent="0.25">
      <c r="B17" t="s">
        <v>259</v>
      </c>
    </row>
    <row r="18" spans="2:2" x14ac:dyDescent="0.25">
      <c r="B18" t="s">
        <v>255</v>
      </c>
    </row>
    <row r="19" spans="2:2" x14ac:dyDescent="0.25">
      <c r="B19" t="s">
        <v>256</v>
      </c>
    </row>
    <row r="20" spans="2:2" x14ac:dyDescent="0.25">
      <c r="B20" t="s">
        <v>257</v>
      </c>
    </row>
    <row r="21" spans="2:2" x14ac:dyDescent="0.25">
      <c r="B21" t="s">
        <v>258</v>
      </c>
    </row>
  </sheetData>
  <sheetProtection password="9B8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0" sqref="B20"/>
    </sheetView>
  </sheetViews>
  <sheetFormatPr defaultRowHeight="15" x14ac:dyDescent="0.25"/>
  <cols>
    <col min="1" max="1" width="19.28515625" customWidth="1"/>
    <col min="5" max="5" width="8.7109375" bestFit="1" customWidth="1"/>
    <col min="7" max="7" width="8.7109375" bestFit="1" customWidth="1"/>
  </cols>
  <sheetData>
    <row r="1" spans="1:9" x14ac:dyDescent="0.3">
      <c r="A1" t="s">
        <v>77</v>
      </c>
    </row>
    <row r="2" spans="1:9" x14ac:dyDescent="0.3">
      <c r="A2" t="s">
        <v>79</v>
      </c>
      <c r="B2" s="103" t="s">
        <v>2</v>
      </c>
      <c r="C2" s="103" t="s">
        <v>3</v>
      </c>
      <c r="D2" s="103" t="s">
        <v>73</v>
      </c>
      <c r="E2" s="103" t="s">
        <v>88</v>
      </c>
      <c r="F2" s="103" t="s">
        <v>90</v>
      </c>
      <c r="G2" s="103" t="s">
        <v>92</v>
      </c>
      <c r="H2" s="103" t="s">
        <v>91</v>
      </c>
      <c r="I2" s="103" t="s">
        <v>118</v>
      </c>
    </row>
    <row r="3" spans="1:9" x14ac:dyDescent="0.3">
      <c r="A3" t="s">
        <v>78</v>
      </c>
      <c r="B3">
        <v>888</v>
      </c>
      <c r="C3">
        <v>4.0999999999999996</v>
      </c>
      <c r="D3" s="1">
        <v>28</v>
      </c>
      <c r="E3" s="1">
        <f>C3/B3*1000</f>
        <v>4.6171171171171164</v>
      </c>
      <c r="F3">
        <v>173</v>
      </c>
      <c r="G3" s="1">
        <f t="shared" ref="G3:G13" si="0">D3/B3*1000</f>
        <v>31.531531531531527</v>
      </c>
      <c r="H3">
        <v>68</v>
      </c>
      <c r="I3">
        <v>59</v>
      </c>
    </row>
    <row r="4" spans="1:9" x14ac:dyDescent="0.3">
      <c r="A4" t="s">
        <v>80</v>
      </c>
      <c r="B4">
        <v>939</v>
      </c>
      <c r="C4">
        <v>4.4000000000000004</v>
      </c>
      <c r="D4" s="1">
        <v>37.5</v>
      </c>
      <c r="E4" s="1">
        <f t="shared" ref="E4:E13" si="1">C4/B4*1000</f>
        <v>4.685835995740149</v>
      </c>
      <c r="F4">
        <v>209</v>
      </c>
      <c r="G4" s="1">
        <f t="shared" si="0"/>
        <v>39.936102236421725</v>
      </c>
      <c r="H4">
        <v>75</v>
      </c>
      <c r="I4">
        <v>94</v>
      </c>
    </row>
    <row r="5" spans="1:9" x14ac:dyDescent="0.3">
      <c r="A5" t="s">
        <v>81</v>
      </c>
      <c r="B5">
        <v>869</v>
      </c>
      <c r="C5">
        <v>4.2</v>
      </c>
      <c r="D5" s="1">
        <v>25.8</v>
      </c>
      <c r="E5" s="1">
        <f t="shared" si="1"/>
        <v>4.8331415420023012</v>
      </c>
      <c r="F5">
        <v>145</v>
      </c>
      <c r="G5" s="1">
        <f t="shared" si="0"/>
        <v>29.689298043728424</v>
      </c>
      <c r="H5">
        <v>63</v>
      </c>
      <c r="I5">
        <v>32</v>
      </c>
    </row>
    <row r="6" spans="1:9" x14ac:dyDescent="0.3">
      <c r="A6" t="s">
        <v>82</v>
      </c>
      <c r="B6">
        <v>945</v>
      </c>
      <c r="C6">
        <v>1.9</v>
      </c>
      <c r="D6" s="1">
        <v>12.5</v>
      </c>
      <c r="E6" s="1">
        <f t="shared" si="1"/>
        <v>2.0105820105820102</v>
      </c>
      <c r="F6">
        <v>86</v>
      </c>
      <c r="G6" s="1">
        <f t="shared" si="0"/>
        <v>13.227513227513226</v>
      </c>
      <c r="H6">
        <v>52</v>
      </c>
      <c r="I6">
        <v>36</v>
      </c>
    </row>
    <row r="7" spans="1:9" x14ac:dyDescent="0.3">
      <c r="A7" t="s">
        <v>82</v>
      </c>
      <c r="B7">
        <v>1001</v>
      </c>
      <c r="C7">
        <v>1.9</v>
      </c>
      <c r="D7" s="1">
        <v>12.5</v>
      </c>
      <c r="E7" s="1">
        <f t="shared" si="1"/>
        <v>1.898101898101898</v>
      </c>
      <c r="F7">
        <v>88</v>
      </c>
      <c r="G7" s="1">
        <f t="shared" si="0"/>
        <v>12.487512487512488</v>
      </c>
      <c r="H7">
        <v>54</v>
      </c>
      <c r="I7">
        <v>-41</v>
      </c>
    </row>
    <row r="8" spans="1:9" x14ac:dyDescent="0.3">
      <c r="A8" t="s">
        <v>83</v>
      </c>
      <c r="B8">
        <v>848</v>
      </c>
      <c r="C8">
        <v>10.9</v>
      </c>
      <c r="D8" s="1">
        <v>51.8</v>
      </c>
      <c r="E8" s="1">
        <f t="shared" si="1"/>
        <v>12.85377358490566</v>
      </c>
      <c r="F8">
        <v>324</v>
      </c>
      <c r="G8" s="1">
        <f t="shared" si="0"/>
        <v>61.084905660377352</v>
      </c>
      <c r="H8">
        <v>126</v>
      </c>
      <c r="I8">
        <v>136</v>
      </c>
    </row>
    <row r="9" spans="1:9" x14ac:dyDescent="0.3">
      <c r="A9" t="s">
        <v>84</v>
      </c>
      <c r="B9">
        <v>930</v>
      </c>
      <c r="C9">
        <v>0.9</v>
      </c>
      <c r="D9" s="1">
        <v>14.9</v>
      </c>
      <c r="E9" s="1">
        <f t="shared" si="1"/>
        <v>0.967741935483871</v>
      </c>
      <c r="F9">
        <v>88</v>
      </c>
      <c r="G9" s="1">
        <f t="shared" si="0"/>
        <v>16.021505376344088</v>
      </c>
      <c r="H9">
        <v>95</v>
      </c>
      <c r="I9">
        <v>-63</v>
      </c>
    </row>
    <row r="10" spans="1:9" x14ac:dyDescent="0.3">
      <c r="A10" t="s">
        <v>85</v>
      </c>
      <c r="B10">
        <v>1014</v>
      </c>
      <c r="C10">
        <v>6.5</v>
      </c>
      <c r="D10" s="1">
        <v>74.3</v>
      </c>
      <c r="E10" s="1">
        <f t="shared" si="1"/>
        <v>6.4102564102564097</v>
      </c>
      <c r="F10">
        <v>464</v>
      </c>
      <c r="G10" s="1">
        <f t="shared" si="0"/>
        <v>73.274161735700204</v>
      </c>
      <c r="H10">
        <v>236</v>
      </c>
      <c r="I10">
        <v>178</v>
      </c>
    </row>
    <row r="11" spans="1:9" x14ac:dyDescent="0.3">
      <c r="A11" t="s">
        <v>86</v>
      </c>
      <c r="B11">
        <v>418</v>
      </c>
      <c r="C11">
        <v>1.1000000000000001</v>
      </c>
      <c r="D11" s="1">
        <v>7</v>
      </c>
      <c r="E11" s="1">
        <f t="shared" si="1"/>
        <v>2.6315789473684212</v>
      </c>
      <c r="F11">
        <v>44</v>
      </c>
      <c r="G11" s="1">
        <f t="shared" si="0"/>
        <v>16.746411483253588</v>
      </c>
      <c r="H11">
        <v>20</v>
      </c>
      <c r="I11">
        <v>-28</v>
      </c>
    </row>
    <row r="12" spans="1:9" x14ac:dyDescent="0.3">
      <c r="A12" t="s">
        <v>87</v>
      </c>
      <c r="B12">
        <v>1027</v>
      </c>
      <c r="C12">
        <v>3.1</v>
      </c>
      <c r="D12" s="1">
        <v>17.8</v>
      </c>
      <c r="E12" s="1">
        <f t="shared" si="1"/>
        <v>3.0185004868549172</v>
      </c>
      <c r="F12">
        <v>111</v>
      </c>
      <c r="G12" s="1">
        <f t="shared" si="0"/>
        <v>17.332035053554041</v>
      </c>
      <c r="H12">
        <v>98</v>
      </c>
      <c r="I12">
        <v>-43</v>
      </c>
    </row>
    <row r="13" spans="1:9" x14ac:dyDescent="0.3">
      <c r="A13" t="s">
        <v>89</v>
      </c>
      <c r="B13">
        <v>1028</v>
      </c>
      <c r="C13">
        <v>0.9</v>
      </c>
      <c r="D13" s="1">
        <v>12.5</v>
      </c>
      <c r="E13" s="1">
        <f t="shared" si="1"/>
        <v>0.8754863813229572</v>
      </c>
      <c r="F13">
        <v>78</v>
      </c>
      <c r="G13" s="1">
        <f t="shared" si="0"/>
        <v>12.159533073929961</v>
      </c>
      <c r="H13">
        <v>89</v>
      </c>
      <c r="I13">
        <v>-71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13"/>
  <sheetViews>
    <sheetView topLeftCell="A26" workbookViewId="0">
      <selection activeCell="H57" sqref="H57"/>
    </sheetView>
  </sheetViews>
  <sheetFormatPr defaultColWidth="8.85546875" defaultRowHeight="15" x14ac:dyDescent="0.25"/>
  <cols>
    <col min="1" max="1" width="8.85546875" style="227"/>
    <col min="2" max="2" width="14.7109375" style="227" customWidth="1"/>
    <col min="3" max="4" width="8.85546875" style="227"/>
    <col min="5" max="5" width="12.140625" style="227" customWidth="1"/>
    <col min="6" max="6" width="10.140625" style="227" customWidth="1"/>
    <col min="7" max="7" width="8.140625" style="227" bestFit="1" customWidth="1"/>
    <col min="8" max="8" width="6.5703125" style="227" customWidth="1"/>
    <col min="9" max="9" width="5.42578125" style="227" customWidth="1"/>
    <col min="10" max="10" width="4.5703125" style="227" bestFit="1" customWidth="1"/>
    <col min="11" max="16384" width="8.85546875" style="227"/>
  </cols>
  <sheetData>
    <row r="11" spans="1:11" x14ac:dyDescent="0.25">
      <c r="B11" s="228"/>
      <c r="E11" s="230"/>
      <c r="F11" s="230"/>
    </row>
    <row r="12" spans="1:11" x14ac:dyDescent="0.25">
      <c r="B12" s="228"/>
      <c r="E12" s="230"/>
      <c r="F12" s="230"/>
      <c r="K12" s="229"/>
    </row>
    <row r="13" spans="1:11" x14ac:dyDescent="0.25">
      <c r="A13" s="228" t="s">
        <v>186</v>
      </c>
    </row>
    <row r="14" spans="1:11" x14ac:dyDescent="0.25">
      <c r="A14" s="228"/>
      <c r="G14" s="231" t="s">
        <v>198</v>
      </c>
      <c r="H14" s="232"/>
    </row>
    <row r="15" spans="1:11" x14ac:dyDescent="0.25">
      <c r="B15" s="233" t="s">
        <v>191</v>
      </c>
      <c r="E15" s="233" t="s">
        <v>167</v>
      </c>
      <c r="F15" s="231" t="s">
        <v>147</v>
      </c>
      <c r="G15" s="231" t="s">
        <v>35</v>
      </c>
      <c r="H15" s="231" t="s">
        <v>73</v>
      </c>
    </row>
    <row r="16" spans="1:11" x14ac:dyDescent="0.25">
      <c r="B16" s="234" t="str">
        <f>ACHTER_INVOER!B24</f>
        <v>A++ brok - Brokkema Veevoeders bv</v>
      </c>
      <c r="C16" s="235"/>
      <c r="D16" s="236"/>
      <c r="E16" s="237">
        <f>ACHTER_INVOER!E24</f>
        <v>167000</v>
      </c>
      <c r="F16" s="238" t="str">
        <f>ACHTER_INVOER!F24</f>
        <v>kg product</v>
      </c>
      <c r="G16" s="242">
        <f>ACHTER_INVOER!T24/1000</f>
        <v>868.4</v>
      </c>
      <c r="H16" s="237">
        <f>ACHTER_INVOER!U24/1000</f>
        <v>29559</v>
      </c>
    </row>
    <row r="17" spans="1:8" x14ac:dyDescent="0.25">
      <c r="B17" s="239">
        <f>ACHTER_INVOER!B28</f>
        <v>0</v>
      </c>
      <c r="C17" s="240"/>
      <c r="D17" s="241"/>
      <c r="E17" s="242">
        <f>ACHTER_INVOER!E28</f>
        <v>0</v>
      </c>
      <c r="F17" s="238" t="str">
        <f>ACHTER_INVOER!F28</f>
        <v>kg product</v>
      </c>
      <c r="G17" s="242">
        <f>ACHTER_INVOER!T28/1000</f>
        <v>0</v>
      </c>
      <c r="H17" s="237">
        <f>ACHTER_INVOER!U28/1000</f>
        <v>0</v>
      </c>
    </row>
    <row r="18" spans="1:8" x14ac:dyDescent="0.25">
      <c r="B18" s="243">
        <f>ACHTER_INVOER!B29</f>
        <v>0</v>
      </c>
      <c r="C18" s="244"/>
      <c r="D18" s="245"/>
      <c r="E18" s="242">
        <f>ACHTER_INVOER!E29</f>
        <v>0</v>
      </c>
      <c r="F18" s="238" t="str">
        <f>ACHTER_INVOER!F29</f>
        <v>kg product</v>
      </c>
      <c r="G18" s="242">
        <f>ACHTER_INVOER!T29/1000</f>
        <v>0</v>
      </c>
      <c r="H18" s="237">
        <f>ACHTER_INVOER!U29/1000</f>
        <v>0</v>
      </c>
    </row>
    <row r="19" spans="1:8" x14ac:dyDescent="0.25">
      <c r="B19" s="243">
        <f>ACHTER_INVOER!B30</f>
        <v>0</v>
      </c>
      <c r="C19" s="244"/>
      <c r="D19" s="245"/>
      <c r="E19" s="242">
        <f>ACHTER_INVOER!E30</f>
        <v>0</v>
      </c>
      <c r="F19" s="238" t="str">
        <f>ACHTER_INVOER!F30</f>
        <v>kg product</v>
      </c>
      <c r="G19" s="242">
        <f>ACHTER_INVOER!T30/1000</f>
        <v>0</v>
      </c>
      <c r="H19" s="237">
        <f>ACHTER_INVOER!U30/1000</f>
        <v>0</v>
      </c>
    </row>
    <row r="20" spans="1:8" x14ac:dyDescent="0.25">
      <c r="B20" s="234" t="str">
        <f>ACHTER_INVOER!B31</f>
        <v>Mineralen</v>
      </c>
      <c r="C20" s="235"/>
      <c r="D20" s="236"/>
      <c r="E20" s="242">
        <f>ACHTER_INVOER!E31</f>
        <v>3650</v>
      </c>
      <c r="F20" s="238" t="str">
        <f>ACHTER_INVOER!F31</f>
        <v>kg product</v>
      </c>
      <c r="G20" s="242">
        <f>ACHTER_INVOER!T31/1000</f>
        <v>14.6</v>
      </c>
      <c r="H20" s="237">
        <f>ACHTER_INVOER!U31/1000</f>
        <v>22.8125</v>
      </c>
    </row>
    <row r="21" spans="1:8" x14ac:dyDescent="0.25">
      <c r="A21" s="228" t="s">
        <v>189</v>
      </c>
      <c r="B21" s="246"/>
      <c r="C21" s="247"/>
      <c r="D21" s="247"/>
      <c r="E21" s="248"/>
      <c r="F21" s="249"/>
      <c r="G21" s="250"/>
      <c r="H21" s="250"/>
    </row>
    <row r="22" spans="1:8" x14ac:dyDescent="0.25">
      <c r="B22" s="246"/>
      <c r="C22" s="247"/>
      <c r="D22" s="247"/>
      <c r="E22" s="251"/>
      <c r="F22" s="249"/>
      <c r="G22" s="231" t="s">
        <v>198</v>
      </c>
      <c r="H22" s="232"/>
    </row>
    <row r="23" spans="1:8" x14ac:dyDescent="0.25">
      <c r="B23" s="233" t="s">
        <v>191</v>
      </c>
      <c r="C23" s="247"/>
      <c r="D23" s="247"/>
      <c r="E23" s="233" t="s">
        <v>167</v>
      </c>
      <c r="F23" s="231" t="s">
        <v>147</v>
      </c>
      <c r="G23" s="231" t="s">
        <v>35</v>
      </c>
      <c r="H23" s="231" t="s">
        <v>73</v>
      </c>
    </row>
    <row r="24" spans="1:8" x14ac:dyDescent="0.25">
      <c r="B24" s="588" t="str">
        <f>ACHTER_INVOER!B35</f>
        <v>Persvezels Emsland Stärke</v>
      </c>
      <c r="C24" s="589"/>
      <c r="D24" s="590"/>
      <c r="E24" s="252">
        <f>ACHTER_INVOER!E35</f>
        <v>0</v>
      </c>
      <c r="F24" s="238" t="s">
        <v>149</v>
      </c>
      <c r="G24" s="278">
        <f>ACHTER_INVOER!T35/1000</f>
        <v>0</v>
      </c>
      <c r="H24" s="253">
        <f>ACHTER_INVOER!U35/1000</f>
        <v>0</v>
      </c>
    </row>
    <row r="25" spans="1:8" x14ac:dyDescent="0.25">
      <c r="B25" s="588" t="str">
        <f>ACHTER_INVOER!B43</f>
        <v>Perspulp</v>
      </c>
      <c r="C25" s="589"/>
      <c r="D25" s="590"/>
      <c r="E25" s="252">
        <f>ACHTER_INVOER!E43</f>
        <v>0</v>
      </c>
      <c r="F25" s="238" t="s">
        <v>148</v>
      </c>
      <c r="G25" s="278">
        <f>ACHTER_INVOER!T43/1000</f>
        <v>0</v>
      </c>
      <c r="H25" s="253">
        <f>ACHTER_INVOER!U43/1000</f>
        <v>0</v>
      </c>
    </row>
    <row r="26" spans="1:8" x14ac:dyDescent="0.25">
      <c r="B26" s="588" t="str">
        <f>ACHTER_INVOER!B44</f>
        <v>Bierbostel Brouwerij Goudgele Rakker</v>
      </c>
      <c r="C26" s="589"/>
      <c r="D26" s="590"/>
      <c r="E26" s="252">
        <f>ACHTER_INVOER!E44</f>
        <v>0</v>
      </c>
      <c r="F26" s="238" t="s">
        <v>149</v>
      </c>
      <c r="G26" s="278">
        <f>ACHTER_INVOER!T44/1000</f>
        <v>0</v>
      </c>
      <c r="H26" s="253">
        <f>ACHTER_INVOER!U44/1000</f>
        <v>0</v>
      </c>
    </row>
    <row r="27" spans="1:8" x14ac:dyDescent="0.25">
      <c r="G27" s="231" t="s">
        <v>198</v>
      </c>
      <c r="H27" s="232"/>
    </row>
    <row r="28" spans="1:8" x14ac:dyDescent="0.25">
      <c r="A28" s="228" t="s">
        <v>163</v>
      </c>
      <c r="E28" s="233" t="s">
        <v>167</v>
      </c>
      <c r="F28" s="231" t="s">
        <v>147</v>
      </c>
      <c r="G28" s="231" t="s">
        <v>35</v>
      </c>
      <c r="H28" s="231" t="s">
        <v>73</v>
      </c>
    </row>
    <row r="29" spans="1:8" x14ac:dyDescent="0.25">
      <c r="B29" s="585" t="str">
        <f>ACHTER_INVOER!B47</f>
        <v>Graskuil hooi</v>
      </c>
      <c r="C29" s="586"/>
      <c r="D29" s="587"/>
      <c r="E29" s="254">
        <f>ACHTER_INVOER!E47</f>
        <v>206170</v>
      </c>
      <c r="F29" s="238" t="str">
        <f>ACHTER_INVOER!F47</f>
        <v>kg DS</v>
      </c>
      <c r="G29" s="279">
        <f>(ACHTER_INVOER!T47-ACHTER_INVOER!X47)/1000</f>
        <v>0</v>
      </c>
      <c r="H29" s="255">
        <f>(ACHTER_INVOER!U47-ACHTER_INVOER!Y47)/1000</f>
        <v>0</v>
      </c>
    </row>
    <row r="30" spans="1:8" x14ac:dyDescent="0.25">
      <c r="B30" s="585">
        <f>ACHTER_INVOER!B48</f>
        <v>0</v>
      </c>
      <c r="C30" s="586"/>
      <c r="D30" s="587"/>
      <c r="E30" s="254">
        <f>ACHTER_INVOER!E48</f>
        <v>0</v>
      </c>
      <c r="F30" s="238" t="str">
        <f>ACHTER_INVOER!F48</f>
        <v>kg DS</v>
      </c>
      <c r="G30" s="279">
        <f>(ACHTER_INVOER!T48-ACHTER_INVOER!X48)/1000</f>
        <v>0</v>
      </c>
      <c r="H30" s="255">
        <f>(ACHTER_INVOER!U48-ACHTER_INVOER!Y48)/1000</f>
        <v>0</v>
      </c>
    </row>
    <row r="31" spans="1:8" x14ac:dyDescent="0.25">
      <c r="B31" s="585">
        <f>ACHTER_INVOER!B49</f>
        <v>0</v>
      </c>
      <c r="C31" s="586"/>
      <c r="D31" s="587"/>
      <c r="E31" s="254">
        <f>ACHTER_INVOER!E49</f>
        <v>0</v>
      </c>
      <c r="F31" s="238" t="str">
        <f>ACHTER_INVOER!F49</f>
        <v>kg DS</v>
      </c>
      <c r="G31" s="279">
        <f>(ACHTER_INVOER!T49-ACHTER_INVOER!X49)/1000</f>
        <v>0</v>
      </c>
      <c r="H31" s="255">
        <f>(ACHTER_INVOER!U49-ACHTER_INVOER!Y49)/1000</f>
        <v>0</v>
      </c>
    </row>
    <row r="32" spans="1:8" x14ac:dyDescent="0.25">
      <c r="A32" s="256"/>
      <c r="B32" s="257">
        <f>ACHTER_INVOER!B50</f>
        <v>0</v>
      </c>
      <c r="C32" s="168"/>
      <c r="D32" s="169"/>
      <c r="E32" s="254">
        <f>ACHTER_INVOER!E50</f>
        <v>0</v>
      </c>
      <c r="F32" s="238" t="str">
        <f>ACHTER_INVOER!F50</f>
        <v>kg DS</v>
      </c>
      <c r="G32" s="279">
        <f>(ACHTER_INVOER!T50-ACHTER_INVOER!X50)/1000</f>
        <v>0</v>
      </c>
      <c r="H32" s="255">
        <f>(ACHTER_INVOER!U50-ACHTER_INVOER!Y50)/1000</f>
        <v>0</v>
      </c>
    </row>
    <row r="33" spans="1:8" x14ac:dyDescent="0.25">
      <c r="A33" s="256"/>
      <c r="B33" s="257">
        <f>ACHTER_INVOER!B51</f>
        <v>0</v>
      </c>
      <c r="C33" s="168"/>
      <c r="D33" s="169"/>
      <c r="E33" s="254">
        <f>ACHTER_INVOER!E51</f>
        <v>0</v>
      </c>
      <c r="F33" s="238" t="str">
        <f>ACHTER_INVOER!F51</f>
        <v>kg DS</v>
      </c>
      <c r="G33" s="279">
        <f>(ACHTER_INVOER!T51-ACHTER_INVOER!X51)/1000</f>
        <v>0</v>
      </c>
      <c r="H33" s="258">
        <f>(ACHTER_INVOER!U51-ACHTER_INVOER!Y51)/1000</f>
        <v>0</v>
      </c>
    </row>
    <row r="34" spans="1:8" x14ac:dyDescent="0.25">
      <c r="A34" s="256"/>
      <c r="B34" s="257">
        <f>ACHTER_INVOER!B52</f>
        <v>0</v>
      </c>
      <c r="C34" s="168"/>
      <c r="D34" s="169"/>
      <c r="E34" s="254">
        <f>ACHTER_INVOER!E52</f>
        <v>0</v>
      </c>
      <c r="F34" s="238" t="str">
        <f>ACHTER_INVOER!F52</f>
        <v>kg DS</v>
      </c>
      <c r="G34" s="279">
        <f>(ACHTER_INVOER!T52-ACHTER_INVOER!X52)/1000</f>
        <v>0</v>
      </c>
      <c r="H34" s="258">
        <f>(ACHTER_INVOER!U52-ACHTER_INVOER!Y52)/1000</f>
        <v>0</v>
      </c>
    </row>
    <row r="35" spans="1:8" x14ac:dyDescent="0.25">
      <c r="A35" s="256"/>
      <c r="B35" s="257">
        <f>ACHTER_INVOER!B53</f>
        <v>0</v>
      </c>
      <c r="C35" s="168"/>
      <c r="D35" s="169"/>
      <c r="E35" s="254">
        <f>ACHTER_INVOER!E53</f>
        <v>0</v>
      </c>
      <c r="F35" s="238" t="str">
        <f>ACHTER_INVOER!F53</f>
        <v>kg DS</v>
      </c>
      <c r="G35" s="279">
        <f>(ACHTER_INVOER!T53-ACHTER_INVOER!X53)/1000</f>
        <v>0</v>
      </c>
      <c r="H35" s="258">
        <f>(ACHTER_INVOER!U53-ACHTER_INVOER!Y53)/1000</f>
        <v>0</v>
      </c>
    </row>
    <row r="36" spans="1:8" x14ac:dyDescent="0.25">
      <c r="F36" s="238"/>
      <c r="G36" s="231" t="s">
        <v>198</v>
      </c>
      <c r="H36" s="232"/>
    </row>
    <row r="37" spans="1:8" x14ac:dyDescent="0.25">
      <c r="A37" s="228" t="s">
        <v>190</v>
      </c>
      <c r="C37" s="259"/>
      <c r="D37" s="230"/>
      <c r="E37" s="215" t="s">
        <v>167</v>
      </c>
      <c r="F37" s="232" t="s">
        <v>147</v>
      </c>
      <c r="G37" s="231" t="s">
        <v>35</v>
      </c>
      <c r="H37" s="231" t="s">
        <v>73</v>
      </c>
    </row>
    <row r="38" spans="1:8" x14ac:dyDescent="0.25">
      <c r="A38" s="228"/>
      <c r="B38" s="260" t="str">
        <f>ACHTER_INVOER!B56</f>
        <v>Snijmaiskuil, Graan-GPS</v>
      </c>
      <c r="C38" s="166"/>
      <c r="D38" s="167"/>
      <c r="E38" s="261">
        <f>ACHTER_INVOER!E56</f>
        <v>267317.5</v>
      </c>
      <c r="F38" s="238" t="str">
        <f>ACHTER_INVOER!F56</f>
        <v>kg DS</v>
      </c>
      <c r="G38" s="261">
        <f>(ACHTER_INVOER!T56-ACHTER_INVOER!X56)/1000</f>
        <v>0</v>
      </c>
      <c r="H38" s="262">
        <f>(ACHTER_INVOER!U56-ACHTER_INVOER!Y56)/1000</f>
        <v>0</v>
      </c>
    </row>
    <row r="39" spans="1:8" x14ac:dyDescent="0.25">
      <c r="A39" s="228"/>
      <c r="B39" s="260">
        <f>ACHTER_INVOER!B57</f>
        <v>0</v>
      </c>
      <c r="C39" s="166"/>
      <c r="D39" s="167"/>
      <c r="E39" s="261">
        <f>ACHTER_INVOER!E57</f>
        <v>0</v>
      </c>
      <c r="F39" s="238" t="str">
        <f>ACHTER_INVOER!F57</f>
        <v>kg DS</v>
      </c>
      <c r="G39" s="280">
        <f>(ACHTER_INVOER!T57-ACHTER_INVOER!X57)/1000</f>
        <v>0</v>
      </c>
      <c r="H39" s="262">
        <f>(ACHTER_INVOER!U57-ACHTER_INVOER!Y57)/1000</f>
        <v>0</v>
      </c>
    </row>
    <row r="40" spans="1:8" x14ac:dyDescent="0.25">
      <c r="A40" s="228"/>
      <c r="B40" s="260">
        <f>ACHTER_INVOER!B58</f>
        <v>0</v>
      </c>
      <c r="C40" s="166"/>
      <c r="D40" s="167"/>
      <c r="E40" s="261">
        <f>ACHTER_INVOER!E58</f>
        <v>0</v>
      </c>
      <c r="F40" s="238" t="str">
        <f>ACHTER_INVOER!F58</f>
        <v>kg DS</v>
      </c>
      <c r="G40" s="280">
        <f>(ACHTER_INVOER!T58-ACHTER_INVOER!X58)/1000</f>
        <v>0</v>
      </c>
      <c r="H40" s="262">
        <f>(ACHTER_INVOER!U58-ACHTER_INVOER!Y58)/1000</f>
        <v>0</v>
      </c>
    </row>
    <row r="41" spans="1:8" x14ac:dyDescent="0.25">
      <c r="A41" s="228"/>
      <c r="B41" s="260">
        <f>ACHTER_INVOER!B59</f>
        <v>0</v>
      </c>
      <c r="C41" s="166"/>
      <c r="D41" s="167"/>
      <c r="E41" s="261">
        <f>ACHTER_INVOER!E59</f>
        <v>0</v>
      </c>
      <c r="F41" s="238" t="str">
        <f>ACHTER_INVOER!F59</f>
        <v>kg DS</v>
      </c>
      <c r="G41" s="280">
        <f>(ACHTER_INVOER!T59-ACHTER_INVOER!X59)/1000</f>
        <v>0</v>
      </c>
      <c r="H41" s="262">
        <f>(ACHTER_INVOER!U59-ACHTER_INVOER!Y59)/1000</f>
        <v>0</v>
      </c>
    </row>
    <row r="42" spans="1:8" x14ac:dyDescent="0.25">
      <c r="A42" s="228"/>
      <c r="B42" s="260">
        <f>ACHTER_INVOER!B60</f>
        <v>0</v>
      </c>
      <c r="C42" s="166"/>
      <c r="D42" s="167"/>
      <c r="E42" s="261">
        <f>ACHTER_INVOER!E60</f>
        <v>0</v>
      </c>
      <c r="F42" s="238" t="str">
        <f>ACHTER_INVOER!F60</f>
        <v>kg DS</v>
      </c>
      <c r="G42" s="280">
        <f>(ACHTER_INVOER!T60-ACHTER_INVOER!X60)/1000</f>
        <v>0</v>
      </c>
      <c r="H42" s="262">
        <f>(ACHTER_INVOER!U60-ACHTER_INVOER!Y60)/1000</f>
        <v>0</v>
      </c>
    </row>
    <row r="43" spans="1:8" ht="14.45" x14ac:dyDescent="0.3">
      <c r="A43" s="228"/>
      <c r="B43" s="260">
        <f>ACHTER_INVOER!B61</f>
        <v>0</v>
      </c>
      <c r="C43" s="166"/>
      <c r="D43" s="167"/>
      <c r="E43" s="261">
        <f>ACHTER_INVOER!E61</f>
        <v>0</v>
      </c>
      <c r="F43" s="238" t="str">
        <f>ACHTER_INVOER!F61</f>
        <v>kg DS</v>
      </c>
      <c r="G43" s="280">
        <f>(ACHTER_INVOER!T61-ACHTER_INVOER!X61)/1000</f>
        <v>0</v>
      </c>
      <c r="H43" s="262">
        <f>(ACHTER_INVOER!U61-ACHTER_INVOER!Y61)/1000</f>
        <v>0</v>
      </c>
    </row>
    <row r="44" spans="1:8" ht="14.45" x14ac:dyDescent="0.3">
      <c r="A44" s="228"/>
      <c r="B44" s="260">
        <f>ACHTER_INVOER!B62</f>
        <v>0</v>
      </c>
      <c r="C44" s="166"/>
      <c r="D44" s="167"/>
      <c r="E44" s="261">
        <f>ACHTER_INVOER!E62</f>
        <v>0</v>
      </c>
      <c r="F44" s="238" t="str">
        <f>ACHTER_INVOER!F62</f>
        <v>kg DS</v>
      </c>
      <c r="G44" s="280">
        <f>(ACHTER_INVOER!T62-ACHTER_INVOER!X62)/1000</f>
        <v>0</v>
      </c>
      <c r="H44" s="263">
        <f>(ACHTER_INVOER!U62-ACHTER_INVOER!Y62)/1000</f>
        <v>0</v>
      </c>
    </row>
    <row r="45" spans="1:8" ht="14.45" x14ac:dyDescent="0.3">
      <c r="G45" s="231" t="s">
        <v>198</v>
      </c>
      <c r="H45" s="232"/>
    </row>
    <row r="46" spans="1:8" ht="14.45" x14ac:dyDescent="0.3">
      <c r="A46" s="228" t="s">
        <v>171</v>
      </c>
      <c r="C46" s="259"/>
      <c r="D46" s="230"/>
      <c r="E46" s="231" t="s">
        <v>167</v>
      </c>
      <c r="F46" s="231" t="s">
        <v>147</v>
      </c>
      <c r="G46" s="231" t="s">
        <v>35</v>
      </c>
      <c r="H46" s="231" t="s">
        <v>73</v>
      </c>
    </row>
    <row r="47" spans="1:8" ht="14.45" x14ac:dyDescent="0.3">
      <c r="B47" s="264" t="str">
        <f>ACHTER_INVOER!B65</f>
        <v>Overige ruwvoeders</v>
      </c>
      <c r="C47" s="216"/>
      <c r="D47" s="217"/>
      <c r="E47" s="265">
        <f>ACHTER_INVOER!E65</f>
        <v>0</v>
      </c>
      <c r="F47" s="238" t="str">
        <f>ACHTER_INVOER!F65</f>
        <v>kg DS</v>
      </c>
      <c r="G47" s="265">
        <f>(ACHTER_INVOER!T65-ACHTER_INVOER!X65)/1000</f>
        <v>0</v>
      </c>
      <c r="H47" s="266">
        <f>(ACHTER_INVOER!U65-ACHTER_INVOER!Y65)/1000</f>
        <v>0</v>
      </c>
    </row>
    <row r="48" spans="1:8" ht="14.45" x14ac:dyDescent="0.3">
      <c r="B48" s="264">
        <f>ACHTER_INVOER!B66</f>
        <v>0</v>
      </c>
      <c r="C48" s="216"/>
      <c r="D48" s="217"/>
      <c r="E48" s="265">
        <f>ACHTER_INVOER!E66</f>
        <v>0</v>
      </c>
      <c r="F48" s="238" t="str">
        <f>ACHTER_INVOER!F66</f>
        <v>kg DS</v>
      </c>
      <c r="G48" s="281">
        <f>(ACHTER_INVOER!T66-ACHTER_INVOER!X66)/1000</f>
        <v>0</v>
      </c>
      <c r="H48" s="266">
        <f>(ACHTER_INVOER!U66-ACHTER_INVOER!Y66)/1000</f>
        <v>0</v>
      </c>
    </row>
    <row r="49" spans="1:12" ht="14.45" x14ac:dyDescent="0.3">
      <c r="B49" s="264">
        <f>ACHTER_INVOER!B67</f>
        <v>0</v>
      </c>
      <c r="C49" s="216"/>
      <c r="D49" s="217"/>
      <c r="E49" s="265">
        <f>ACHTER_INVOER!E67</f>
        <v>0</v>
      </c>
      <c r="F49" s="238" t="str">
        <f>ACHTER_INVOER!F67</f>
        <v>kg DS</v>
      </c>
      <c r="G49" s="281">
        <f>(ACHTER_INVOER!T67-ACHTER_INVOER!X67)/1000</f>
        <v>0</v>
      </c>
      <c r="H49" s="266">
        <f>(ACHTER_INVOER!U67-ACHTER_INVOER!Y67)/1000</f>
        <v>0</v>
      </c>
    </row>
    <row r="50" spans="1:12" ht="14.45" x14ac:dyDescent="0.3">
      <c r="A50" s="256"/>
      <c r="B50" s="264">
        <f>ACHTER_INVOER!B68</f>
        <v>0</v>
      </c>
      <c r="C50" s="216"/>
      <c r="D50" s="217"/>
      <c r="E50" s="265">
        <f>ACHTER_INVOER!E68</f>
        <v>0</v>
      </c>
      <c r="F50" s="238" t="str">
        <f>ACHTER_INVOER!F68</f>
        <v>kg DS</v>
      </c>
      <c r="G50" s="281">
        <f>(ACHTER_INVOER!T68-ACHTER_INVOER!X68)/1000</f>
        <v>0</v>
      </c>
      <c r="H50" s="266">
        <f>(ACHTER_INVOER!U68-ACHTER_INVOER!Y68)/1000</f>
        <v>0</v>
      </c>
    </row>
    <row r="51" spans="1:12" x14ac:dyDescent="0.25">
      <c r="A51" s="256"/>
      <c r="B51" s="264">
        <f>ACHTER_INVOER!B69</f>
        <v>0</v>
      </c>
      <c r="C51" s="216"/>
      <c r="D51" s="217"/>
      <c r="E51" s="265">
        <f>ACHTER_INVOER!E69</f>
        <v>0</v>
      </c>
      <c r="F51" s="238" t="str">
        <f>ACHTER_INVOER!F69</f>
        <v>kg DS</v>
      </c>
      <c r="G51" s="281">
        <f>(ACHTER_INVOER!T69-ACHTER_INVOER!X69)/1000</f>
        <v>0</v>
      </c>
      <c r="H51" s="267">
        <f>(ACHTER_INVOER!U69-ACHTER_INVOER!Y69)/1000</f>
        <v>0</v>
      </c>
    </row>
    <row r="52" spans="1:12" x14ac:dyDescent="0.25">
      <c r="A52" s="256"/>
      <c r="B52" s="264">
        <f>ACHTER_INVOER!B70</f>
        <v>0</v>
      </c>
      <c r="C52" s="216"/>
      <c r="D52" s="217"/>
      <c r="E52" s="265">
        <f>ACHTER_INVOER!E70</f>
        <v>0</v>
      </c>
      <c r="F52" s="238" t="str">
        <f>ACHTER_INVOER!F70</f>
        <v>kg DS</v>
      </c>
      <c r="G52" s="281">
        <f>(ACHTER_INVOER!T70-ACHTER_INVOER!X70)/1000</f>
        <v>0</v>
      </c>
      <c r="H52" s="267">
        <f>(ACHTER_INVOER!U70-ACHTER_INVOER!Y70)/1000</f>
        <v>0</v>
      </c>
    </row>
    <row r="53" spans="1:12" x14ac:dyDescent="0.25">
      <c r="A53" s="256"/>
      <c r="B53" s="264">
        <f>ACHTER_INVOER!B71</f>
        <v>0</v>
      </c>
      <c r="C53" s="216"/>
      <c r="D53" s="217"/>
      <c r="E53" s="265">
        <f>ACHTER_INVOER!E71</f>
        <v>0</v>
      </c>
      <c r="F53" s="238" t="str">
        <f>ACHTER_INVOER!F71</f>
        <v>kg DS</v>
      </c>
      <c r="G53" s="281">
        <f>(ACHTER_INVOER!T71-ACHTER_INVOER!X71)/1000</f>
        <v>0</v>
      </c>
      <c r="H53" s="267">
        <f>(ACHTER_INVOER!U71-ACHTER_INVOER!Y71)/1000</f>
        <v>0</v>
      </c>
    </row>
    <row r="54" spans="1:12" x14ac:dyDescent="0.25">
      <c r="A54" s="228"/>
      <c r="C54" s="259"/>
      <c r="D54" s="230"/>
      <c r="G54" s="229"/>
      <c r="H54" s="230"/>
    </row>
    <row r="55" spans="1:12" x14ac:dyDescent="0.25">
      <c r="A55" s="228"/>
      <c r="C55" s="259"/>
      <c r="D55" s="230"/>
      <c r="G55" s="229"/>
      <c r="H55" s="230"/>
    </row>
    <row r="58" spans="1:12" x14ac:dyDescent="0.2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</row>
    <row r="59" spans="1:12" x14ac:dyDescent="0.2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</row>
    <row r="60" spans="1:12" x14ac:dyDescent="0.25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</row>
    <row r="61" spans="1:12" x14ac:dyDescent="0.25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</row>
    <row r="62" spans="1:12" x14ac:dyDescent="0.2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</row>
    <row r="63" spans="1:12" x14ac:dyDescent="0.2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</row>
    <row r="64" spans="1:12" x14ac:dyDescent="0.2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</row>
    <row r="65" spans="1:12" x14ac:dyDescent="0.2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</row>
    <row r="66" spans="1:12" x14ac:dyDescent="0.2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</row>
    <row r="67" spans="1:12" x14ac:dyDescent="0.2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</row>
    <row r="68" spans="1:12" x14ac:dyDescent="0.2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</row>
    <row r="69" spans="1:12" x14ac:dyDescent="0.2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</row>
    <row r="70" spans="1:12" x14ac:dyDescent="0.25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</row>
    <row r="71" spans="1:12" x14ac:dyDescent="0.2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</row>
    <row r="72" spans="1:12" x14ac:dyDescent="0.2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</row>
    <row r="73" spans="1:12" x14ac:dyDescent="0.2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</row>
    <row r="74" spans="1:12" x14ac:dyDescent="0.2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</row>
    <row r="75" spans="1:12" x14ac:dyDescent="0.2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</row>
    <row r="76" spans="1:12" x14ac:dyDescent="0.2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</row>
    <row r="77" spans="1:12" x14ac:dyDescent="0.2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</row>
    <row r="78" spans="1:12" x14ac:dyDescent="0.2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</row>
    <row r="79" spans="1:12" x14ac:dyDescent="0.2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</row>
    <row r="80" spans="1:12" x14ac:dyDescent="0.2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</row>
    <row r="81" spans="1:12" x14ac:dyDescent="0.25">
      <c r="A81" s="228"/>
      <c r="B81" s="256"/>
      <c r="C81" s="268"/>
      <c r="D81" s="269"/>
      <c r="E81" s="256"/>
      <c r="F81" s="256"/>
      <c r="G81" s="256"/>
      <c r="H81" s="256"/>
      <c r="I81" s="256"/>
      <c r="J81" s="256"/>
      <c r="K81" s="256"/>
      <c r="L81" s="256"/>
    </row>
    <row r="82" spans="1:12" x14ac:dyDescent="0.25">
      <c r="A82" s="228"/>
      <c r="B82" s="256"/>
      <c r="C82" s="268"/>
      <c r="D82" s="269"/>
      <c r="E82" s="256"/>
      <c r="F82" s="256"/>
      <c r="G82" s="256"/>
      <c r="H82" s="256"/>
      <c r="I82" s="256"/>
      <c r="J82" s="256"/>
      <c r="K82" s="256"/>
      <c r="L82" s="256"/>
    </row>
    <row r="83" spans="1:12" x14ac:dyDescent="0.2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</row>
    <row r="84" spans="1:12" x14ac:dyDescent="0.25">
      <c r="A84" s="270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</row>
    <row r="85" spans="1:12" x14ac:dyDescent="0.2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</row>
    <row r="86" spans="1:12" x14ac:dyDescent="0.25">
      <c r="A86" s="268"/>
      <c r="B86" s="271"/>
      <c r="C86" s="256"/>
      <c r="D86" s="271"/>
      <c r="E86" s="256"/>
      <c r="F86" s="256"/>
      <c r="G86" s="256"/>
      <c r="H86" s="256"/>
      <c r="I86" s="256"/>
      <c r="J86" s="256"/>
      <c r="K86" s="256"/>
      <c r="L86" s="256"/>
    </row>
    <row r="87" spans="1:12" x14ac:dyDescent="0.25">
      <c r="A87" s="268"/>
      <c r="B87" s="272"/>
      <c r="C87" s="273"/>
      <c r="D87" s="250"/>
      <c r="E87" s="256"/>
      <c r="F87" s="256"/>
      <c r="G87" s="256"/>
      <c r="H87" s="256"/>
      <c r="I87" s="256"/>
      <c r="J87" s="256"/>
      <c r="K87" s="256"/>
      <c r="L87" s="256"/>
    </row>
    <row r="88" spans="1:12" x14ac:dyDescent="0.25">
      <c r="A88" s="268"/>
      <c r="B88" s="272"/>
      <c r="C88" s="273"/>
      <c r="D88" s="250"/>
      <c r="E88" s="256"/>
      <c r="F88" s="256"/>
      <c r="G88" s="256"/>
      <c r="H88" s="256"/>
      <c r="I88" s="256"/>
      <c r="J88" s="256"/>
      <c r="K88" s="256"/>
      <c r="L88" s="256"/>
    </row>
    <row r="89" spans="1:12" x14ac:dyDescent="0.25">
      <c r="A89" s="268"/>
      <c r="B89" s="272"/>
      <c r="C89" s="273"/>
      <c r="D89" s="250"/>
      <c r="E89" s="256"/>
      <c r="F89" s="256"/>
      <c r="G89" s="256"/>
      <c r="H89" s="256"/>
      <c r="I89" s="256"/>
      <c r="J89" s="256"/>
      <c r="K89" s="256"/>
      <c r="L89" s="256"/>
    </row>
    <row r="90" spans="1:12" x14ac:dyDescent="0.25">
      <c r="A90" s="256"/>
      <c r="B90" s="272"/>
      <c r="C90" s="273"/>
      <c r="D90" s="250"/>
      <c r="E90" s="256"/>
      <c r="F90" s="256"/>
      <c r="G90" s="256"/>
      <c r="H90" s="256"/>
      <c r="I90" s="256"/>
      <c r="J90" s="256"/>
      <c r="K90" s="256"/>
      <c r="L90" s="256"/>
    </row>
    <row r="91" spans="1:12" x14ac:dyDescent="0.25">
      <c r="A91" s="256"/>
      <c r="B91" s="272"/>
      <c r="C91" s="273"/>
      <c r="D91" s="250"/>
      <c r="E91" s="256"/>
      <c r="F91" s="256"/>
      <c r="G91" s="256"/>
      <c r="H91" s="256"/>
      <c r="I91" s="256"/>
      <c r="J91" s="256"/>
      <c r="K91" s="256"/>
      <c r="L91" s="256"/>
    </row>
    <row r="92" spans="1:12" x14ac:dyDescent="0.25">
      <c r="A92" s="256"/>
      <c r="B92" s="272"/>
      <c r="C92" s="273"/>
      <c r="D92" s="250"/>
      <c r="E92" s="256"/>
      <c r="F92" s="256"/>
      <c r="G92" s="256"/>
      <c r="H92" s="256"/>
      <c r="I92" s="256"/>
      <c r="J92" s="256"/>
      <c r="K92" s="256"/>
      <c r="L92" s="256"/>
    </row>
    <row r="93" spans="1:12" x14ac:dyDescent="0.25">
      <c r="A93" s="270"/>
      <c r="B93" s="273"/>
      <c r="C93" s="273"/>
      <c r="D93" s="273"/>
      <c r="E93" s="256"/>
      <c r="F93" s="256"/>
      <c r="G93" s="256"/>
      <c r="H93" s="256"/>
      <c r="I93" s="256"/>
      <c r="J93" s="256"/>
      <c r="K93" s="256"/>
      <c r="L93" s="256"/>
    </row>
    <row r="94" spans="1:12" x14ac:dyDescent="0.25">
      <c r="A94" s="256"/>
      <c r="B94" s="273"/>
      <c r="C94" s="273"/>
      <c r="D94" s="273"/>
      <c r="E94" s="256"/>
      <c r="F94" s="256"/>
      <c r="G94" s="256"/>
      <c r="H94" s="256"/>
      <c r="I94" s="256"/>
      <c r="J94" s="256"/>
      <c r="K94" s="256"/>
      <c r="L94" s="256"/>
    </row>
    <row r="95" spans="1:12" x14ac:dyDescent="0.25">
      <c r="A95" s="268"/>
      <c r="B95" s="271"/>
      <c r="C95" s="273"/>
      <c r="D95" s="271"/>
      <c r="E95" s="256"/>
      <c r="F95" s="256"/>
      <c r="G95" s="256"/>
      <c r="H95" s="256"/>
      <c r="I95" s="256"/>
      <c r="J95" s="256"/>
      <c r="K95" s="256"/>
      <c r="L95" s="256"/>
    </row>
    <row r="96" spans="1:12" x14ac:dyDescent="0.25">
      <c r="A96" s="268"/>
      <c r="B96" s="272"/>
      <c r="C96" s="273"/>
      <c r="D96" s="250"/>
      <c r="E96" s="256"/>
      <c r="F96" s="256"/>
      <c r="G96" s="256"/>
      <c r="H96" s="256"/>
      <c r="I96" s="256"/>
      <c r="J96" s="256"/>
      <c r="K96" s="256"/>
      <c r="L96" s="256"/>
    </row>
    <row r="97" spans="1:12" x14ac:dyDescent="0.25">
      <c r="A97" s="268"/>
      <c r="B97" s="272"/>
      <c r="C97" s="274"/>
      <c r="D97" s="250"/>
      <c r="E97" s="256"/>
      <c r="F97" s="256"/>
      <c r="G97" s="256"/>
      <c r="H97" s="256"/>
      <c r="I97" s="256"/>
      <c r="J97" s="256"/>
      <c r="K97" s="256"/>
      <c r="L97" s="256"/>
    </row>
    <row r="98" spans="1:12" x14ac:dyDescent="0.25">
      <c r="A98" s="268"/>
      <c r="B98" s="272"/>
      <c r="C98" s="273"/>
      <c r="D98" s="250"/>
      <c r="E98" s="256"/>
      <c r="F98" s="256"/>
      <c r="G98" s="256"/>
      <c r="H98" s="256"/>
      <c r="I98" s="256"/>
      <c r="J98" s="256"/>
      <c r="K98" s="256"/>
      <c r="L98" s="256"/>
    </row>
    <row r="99" spans="1:12" x14ac:dyDescent="0.25">
      <c r="A99" s="268"/>
      <c r="B99" s="272"/>
      <c r="C99" s="273"/>
      <c r="D99" s="250"/>
      <c r="E99" s="256"/>
      <c r="F99" s="256"/>
      <c r="G99" s="256"/>
      <c r="H99" s="256"/>
      <c r="I99" s="256"/>
      <c r="J99" s="256"/>
      <c r="K99" s="256"/>
      <c r="L99" s="256"/>
    </row>
    <row r="100" spans="1:12" x14ac:dyDescent="0.25">
      <c r="A100" s="268"/>
      <c r="B100" s="272"/>
      <c r="C100" s="273"/>
      <c r="D100" s="250"/>
      <c r="E100" s="256"/>
      <c r="F100" s="256"/>
      <c r="G100" s="256"/>
      <c r="H100" s="256"/>
      <c r="I100" s="256"/>
      <c r="J100" s="256"/>
      <c r="K100" s="256"/>
      <c r="L100" s="256"/>
    </row>
    <row r="101" spans="1:12" x14ac:dyDescent="0.25">
      <c r="A101" s="268"/>
      <c r="B101" s="272"/>
      <c r="C101" s="273"/>
      <c r="D101" s="250"/>
      <c r="E101" s="256"/>
      <c r="F101" s="256"/>
      <c r="G101" s="256"/>
      <c r="H101" s="256"/>
      <c r="I101" s="256"/>
      <c r="J101" s="256"/>
      <c r="K101" s="256"/>
      <c r="L101" s="256"/>
    </row>
    <row r="102" spans="1:12" x14ac:dyDescent="0.25">
      <c r="A102" s="268"/>
      <c r="B102" s="272"/>
      <c r="C102" s="273"/>
      <c r="D102" s="250"/>
      <c r="E102" s="256"/>
      <c r="F102" s="256"/>
      <c r="G102" s="256"/>
      <c r="H102" s="256"/>
      <c r="I102" s="256"/>
      <c r="J102" s="256"/>
      <c r="K102" s="256"/>
      <c r="L102" s="256"/>
    </row>
    <row r="103" spans="1:12" x14ac:dyDescent="0.25">
      <c r="A103" s="256"/>
      <c r="B103" s="272"/>
      <c r="C103" s="273"/>
      <c r="D103" s="250"/>
      <c r="E103" s="256"/>
      <c r="F103" s="256"/>
      <c r="G103" s="256"/>
      <c r="H103" s="256"/>
      <c r="I103" s="256"/>
      <c r="J103" s="256"/>
      <c r="K103" s="256"/>
      <c r="L103" s="256"/>
    </row>
    <row r="104" spans="1:12" x14ac:dyDescent="0.25">
      <c r="A104" s="256"/>
      <c r="B104" s="272"/>
      <c r="C104" s="273"/>
      <c r="D104" s="250"/>
      <c r="E104" s="256"/>
      <c r="F104" s="256"/>
      <c r="G104" s="256"/>
      <c r="H104" s="256"/>
      <c r="I104" s="256"/>
      <c r="J104" s="256"/>
      <c r="K104" s="256"/>
      <c r="L104" s="256"/>
    </row>
    <row r="105" spans="1:12" x14ac:dyDescent="0.25">
      <c r="A105" s="256"/>
      <c r="B105" s="256"/>
      <c r="C105" s="275"/>
      <c r="D105" s="269"/>
      <c r="E105" s="256"/>
      <c r="F105" s="256"/>
      <c r="G105" s="256"/>
      <c r="H105" s="256"/>
      <c r="I105" s="256"/>
      <c r="J105" s="256"/>
      <c r="K105" s="256"/>
      <c r="L105" s="256"/>
    </row>
    <row r="106" spans="1:12" x14ac:dyDescent="0.25">
      <c r="A106" s="270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</row>
    <row r="107" spans="1:12" x14ac:dyDescent="0.25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</row>
    <row r="108" spans="1:12" x14ac:dyDescent="0.25">
      <c r="A108" s="268"/>
      <c r="B108" s="228"/>
      <c r="C108" s="256"/>
      <c r="D108" s="271"/>
      <c r="E108" s="256"/>
      <c r="F108" s="256"/>
      <c r="G108" s="256"/>
      <c r="H108" s="256"/>
      <c r="I108" s="256"/>
      <c r="J108" s="256"/>
      <c r="K108" s="256"/>
      <c r="L108" s="256"/>
    </row>
    <row r="109" spans="1:12" x14ac:dyDescent="0.25">
      <c r="A109" s="268"/>
      <c r="B109" s="272"/>
      <c r="C109" s="276"/>
      <c r="D109" s="250"/>
      <c r="E109" s="256"/>
      <c r="F109" s="256"/>
      <c r="G109" s="256"/>
      <c r="H109" s="256"/>
      <c r="I109" s="256"/>
      <c r="J109" s="256"/>
      <c r="K109" s="256"/>
      <c r="L109" s="256"/>
    </row>
    <row r="110" spans="1:12" x14ac:dyDescent="0.25">
      <c r="A110" s="268"/>
      <c r="B110" s="272"/>
      <c r="C110" s="276"/>
      <c r="D110" s="250"/>
      <c r="E110" s="256"/>
      <c r="F110" s="256"/>
      <c r="G110" s="256"/>
      <c r="H110" s="256"/>
      <c r="I110" s="256"/>
      <c r="J110" s="256"/>
      <c r="K110" s="256"/>
      <c r="L110" s="256"/>
    </row>
    <row r="111" spans="1:12" x14ac:dyDescent="0.25">
      <c r="A111" s="268"/>
      <c r="B111" s="272"/>
      <c r="C111" s="276"/>
      <c r="D111" s="250"/>
      <c r="E111" s="256"/>
      <c r="F111" s="256"/>
      <c r="G111" s="256"/>
      <c r="H111" s="256"/>
      <c r="I111" s="256"/>
      <c r="J111" s="256"/>
      <c r="K111" s="256"/>
      <c r="L111" s="256"/>
    </row>
    <row r="112" spans="1:12" x14ac:dyDescent="0.25">
      <c r="A112" s="256"/>
      <c r="B112" s="272"/>
      <c r="C112" s="276"/>
      <c r="D112" s="250"/>
      <c r="E112" s="256"/>
      <c r="F112" s="256"/>
      <c r="G112" s="256"/>
      <c r="H112" s="256"/>
      <c r="I112" s="256"/>
      <c r="J112" s="256"/>
      <c r="K112" s="256"/>
      <c r="L112" s="256"/>
    </row>
    <row r="113" spans="1:12" x14ac:dyDescent="0.25">
      <c r="A113" s="256"/>
      <c r="B113" s="272"/>
      <c r="C113" s="276"/>
      <c r="D113" s="250"/>
      <c r="E113" s="256"/>
      <c r="F113" s="256"/>
      <c r="G113" s="256"/>
      <c r="H113" s="256"/>
      <c r="I113" s="256"/>
      <c r="J113" s="256"/>
      <c r="K113" s="256"/>
      <c r="L113" s="256"/>
    </row>
    <row r="114" spans="1:12" x14ac:dyDescent="0.25">
      <c r="A114" s="256"/>
      <c r="B114" s="272"/>
      <c r="C114" s="276"/>
      <c r="D114" s="250"/>
      <c r="E114" s="256"/>
      <c r="F114" s="256"/>
      <c r="G114" s="256"/>
      <c r="H114" s="256"/>
      <c r="I114" s="256"/>
      <c r="J114" s="256"/>
      <c r="K114" s="256"/>
      <c r="L114" s="256"/>
    </row>
    <row r="115" spans="1:12" x14ac:dyDescent="0.25">
      <c r="A115" s="270"/>
      <c r="B115" s="273"/>
      <c r="C115" s="273"/>
      <c r="D115" s="273"/>
      <c r="E115" s="256"/>
      <c r="F115" s="256"/>
      <c r="G115" s="256"/>
      <c r="H115" s="256"/>
      <c r="I115" s="256"/>
      <c r="J115" s="256"/>
      <c r="K115" s="256"/>
      <c r="L115" s="256"/>
    </row>
    <row r="116" spans="1:12" x14ac:dyDescent="0.25">
      <c r="A116" s="256"/>
      <c r="B116" s="273"/>
      <c r="C116" s="273"/>
      <c r="D116" s="273"/>
      <c r="E116" s="256"/>
      <c r="F116" s="256"/>
      <c r="G116" s="256"/>
      <c r="H116" s="256"/>
      <c r="I116" s="256"/>
      <c r="J116" s="256"/>
      <c r="K116" s="256"/>
      <c r="L116" s="256"/>
    </row>
    <row r="117" spans="1:12" x14ac:dyDescent="0.25">
      <c r="A117" s="268"/>
      <c r="B117" s="228"/>
      <c r="C117" s="273"/>
      <c r="D117" s="271"/>
      <c r="E117" s="256"/>
      <c r="F117" s="256"/>
      <c r="G117" s="256"/>
      <c r="H117" s="256"/>
      <c r="I117" s="256"/>
      <c r="J117" s="256"/>
      <c r="K117" s="256"/>
      <c r="L117" s="256"/>
    </row>
    <row r="118" spans="1:12" x14ac:dyDescent="0.25">
      <c r="A118" s="268"/>
      <c r="B118" s="272"/>
      <c r="C118" s="273"/>
      <c r="D118" s="250"/>
      <c r="E118" s="256"/>
      <c r="F118" s="256"/>
      <c r="G118" s="256"/>
      <c r="H118" s="256"/>
      <c r="I118" s="256"/>
      <c r="J118" s="256"/>
      <c r="K118" s="256"/>
      <c r="L118" s="256"/>
    </row>
    <row r="119" spans="1:12" x14ac:dyDescent="0.25">
      <c r="A119" s="268"/>
      <c r="B119" s="272"/>
      <c r="C119" s="274"/>
      <c r="D119" s="250"/>
      <c r="E119" s="256"/>
      <c r="F119" s="256"/>
      <c r="G119" s="256"/>
      <c r="H119" s="256"/>
      <c r="I119" s="256"/>
      <c r="J119" s="256"/>
      <c r="K119" s="256"/>
      <c r="L119" s="256"/>
    </row>
    <row r="120" spans="1:12" x14ac:dyDescent="0.25">
      <c r="A120" s="268"/>
      <c r="B120" s="272"/>
      <c r="C120" s="273"/>
      <c r="D120" s="250"/>
      <c r="E120" s="256"/>
      <c r="F120" s="256"/>
      <c r="G120" s="256"/>
      <c r="H120" s="256"/>
      <c r="I120" s="256"/>
      <c r="J120" s="256"/>
      <c r="K120" s="256"/>
      <c r="L120" s="256"/>
    </row>
    <row r="121" spans="1:12" x14ac:dyDescent="0.25">
      <c r="A121" s="268"/>
      <c r="B121" s="272"/>
      <c r="C121" s="273"/>
      <c r="D121" s="250"/>
      <c r="E121" s="256"/>
      <c r="F121" s="256"/>
      <c r="G121" s="256"/>
      <c r="H121" s="256"/>
      <c r="I121" s="256"/>
      <c r="J121" s="256"/>
      <c r="K121" s="256"/>
      <c r="L121" s="256"/>
    </row>
    <row r="122" spans="1:12" x14ac:dyDescent="0.25">
      <c r="A122" s="268"/>
      <c r="B122" s="272"/>
      <c r="C122" s="273"/>
      <c r="D122" s="250"/>
      <c r="E122" s="256"/>
      <c r="F122" s="256"/>
      <c r="G122" s="256"/>
      <c r="H122" s="256"/>
      <c r="I122" s="256"/>
      <c r="J122" s="256"/>
      <c r="K122" s="256"/>
      <c r="L122" s="256"/>
    </row>
    <row r="123" spans="1:12" x14ac:dyDescent="0.25">
      <c r="A123" s="268"/>
      <c r="B123" s="272"/>
      <c r="C123" s="273"/>
      <c r="D123" s="250"/>
      <c r="E123" s="256"/>
      <c r="F123" s="256"/>
      <c r="G123" s="256"/>
      <c r="H123" s="256"/>
      <c r="I123" s="256"/>
      <c r="J123" s="256"/>
      <c r="K123" s="256"/>
      <c r="L123" s="256"/>
    </row>
    <row r="124" spans="1:12" x14ac:dyDescent="0.25">
      <c r="A124" s="268"/>
      <c r="B124" s="272"/>
      <c r="C124" s="273"/>
      <c r="D124" s="250"/>
      <c r="E124" s="256"/>
      <c r="F124" s="256"/>
      <c r="G124" s="256"/>
      <c r="H124" s="256"/>
      <c r="I124" s="256"/>
      <c r="J124" s="256"/>
      <c r="K124" s="256"/>
      <c r="L124" s="256"/>
    </row>
    <row r="125" spans="1:12" x14ac:dyDescent="0.25">
      <c r="A125" s="256"/>
      <c r="B125" s="272"/>
      <c r="C125" s="273"/>
      <c r="D125" s="250"/>
      <c r="E125" s="256"/>
      <c r="F125" s="256"/>
      <c r="G125" s="256"/>
      <c r="H125" s="256"/>
      <c r="I125" s="256"/>
      <c r="J125" s="256"/>
      <c r="K125" s="256"/>
      <c r="L125" s="256"/>
    </row>
    <row r="126" spans="1:12" x14ac:dyDescent="0.25">
      <c r="A126" s="256"/>
      <c r="B126" s="272"/>
      <c r="C126" s="273"/>
      <c r="D126" s="250"/>
      <c r="E126" s="256"/>
      <c r="F126" s="256"/>
      <c r="G126" s="256"/>
      <c r="H126" s="256"/>
      <c r="I126" s="256"/>
      <c r="J126" s="256"/>
      <c r="K126" s="256"/>
      <c r="L126" s="256"/>
    </row>
    <row r="127" spans="1:12" x14ac:dyDescent="0.25">
      <c r="A127" s="256"/>
      <c r="B127" s="256"/>
      <c r="C127" s="275"/>
      <c r="D127" s="269"/>
      <c r="E127" s="256"/>
      <c r="F127" s="256"/>
      <c r="G127" s="256"/>
      <c r="H127" s="256"/>
      <c r="I127" s="256"/>
      <c r="J127" s="256"/>
      <c r="K127" s="256"/>
      <c r="L127" s="256"/>
    </row>
    <row r="128" spans="1:12" x14ac:dyDescent="0.25">
      <c r="A128" s="256"/>
      <c r="B128" s="256"/>
      <c r="C128" s="275"/>
      <c r="D128" s="269"/>
      <c r="E128" s="256"/>
      <c r="F128" s="256"/>
      <c r="G128" s="256"/>
      <c r="H128" s="256"/>
      <c r="I128" s="256"/>
      <c r="J128" s="256"/>
      <c r="K128" s="256"/>
      <c r="L128" s="256"/>
    </row>
    <row r="129" spans="1:12" x14ac:dyDescent="0.25">
      <c r="A129" s="256"/>
      <c r="B129" s="256"/>
      <c r="C129" s="275"/>
      <c r="D129" s="277"/>
      <c r="E129" s="256"/>
      <c r="F129" s="256"/>
      <c r="G129" s="256"/>
      <c r="H129" s="256"/>
      <c r="I129" s="256"/>
      <c r="J129" s="256"/>
      <c r="K129" s="256"/>
      <c r="L129" s="256"/>
    </row>
    <row r="130" spans="1:12" x14ac:dyDescent="0.25">
      <c r="A130" s="256"/>
      <c r="B130" s="268"/>
      <c r="C130" s="275"/>
      <c r="D130" s="275"/>
      <c r="E130" s="256"/>
      <c r="F130" s="256"/>
      <c r="G130" s="256"/>
      <c r="H130" s="256"/>
      <c r="I130" s="256"/>
      <c r="J130" s="256"/>
      <c r="K130" s="256"/>
      <c r="L130" s="256"/>
    </row>
    <row r="131" spans="1:12" x14ac:dyDescent="0.25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</row>
    <row r="132" spans="1:12" x14ac:dyDescent="0.25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</row>
    <row r="133" spans="1:12" x14ac:dyDescent="0.25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</row>
    <row r="134" spans="1:12" x14ac:dyDescent="0.25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</row>
    <row r="135" spans="1:12" x14ac:dyDescent="0.25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</row>
    <row r="136" spans="1:12" x14ac:dyDescent="0.25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</row>
    <row r="137" spans="1:12" x14ac:dyDescent="0.25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</row>
    <row r="138" spans="1:12" x14ac:dyDescent="0.25">
      <c r="A138" s="256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</row>
    <row r="139" spans="1:12" x14ac:dyDescent="0.25">
      <c r="A139" s="25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</row>
    <row r="140" spans="1:12" x14ac:dyDescent="0.25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</row>
    <row r="141" spans="1:12" x14ac:dyDescent="0.25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</row>
    <row r="142" spans="1:12" x14ac:dyDescent="0.25">
      <c r="A142" s="256"/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</row>
    <row r="143" spans="1:12" x14ac:dyDescent="0.25">
      <c r="A143" s="256"/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</row>
    <row r="144" spans="1:12" x14ac:dyDescent="0.25">
      <c r="A144" s="256"/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</row>
    <row r="145" spans="1:12" x14ac:dyDescent="0.25">
      <c r="A145" s="256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</row>
    <row r="146" spans="1:12" x14ac:dyDescent="0.25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</row>
    <row r="147" spans="1:12" x14ac:dyDescent="0.25">
      <c r="A147" s="256"/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</row>
    <row r="148" spans="1:12" x14ac:dyDescent="0.25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</row>
    <row r="149" spans="1:12" x14ac:dyDescent="0.25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</row>
    <row r="150" spans="1:12" x14ac:dyDescent="0.25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</row>
    <row r="151" spans="1:12" x14ac:dyDescent="0.25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</row>
    <row r="152" spans="1:12" x14ac:dyDescent="0.25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</row>
    <row r="153" spans="1:12" x14ac:dyDescent="0.2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</row>
    <row r="154" spans="1:12" x14ac:dyDescent="0.25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</row>
    <row r="155" spans="1:12" x14ac:dyDescent="0.25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</row>
    <row r="156" spans="1:12" x14ac:dyDescent="0.25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</row>
    <row r="157" spans="1:12" x14ac:dyDescent="0.25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</row>
    <row r="158" spans="1:12" x14ac:dyDescent="0.25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</row>
    <row r="159" spans="1:12" x14ac:dyDescent="0.25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</row>
    <row r="160" spans="1:12" x14ac:dyDescent="0.25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</row>
    <row r="161" spans="1:12" x14ac:dyDescent="0.25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</row>
    <row r="162" spans="1:12" x14ac:dyDescent="0.25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</row>
    <row r="163" spans="1:12" x14ac:dyDescent="0.25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</row>
    <row r="164" spans="1:12" x14ac:dyDescent="0.25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</row>
    <row r="165" spans="1:12" x14ac:dyDescent="0.25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</row>
    <row r="166" spans="1:12" x14ac:dyDescent="0.25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</row>
    <row r="167" spans="1:12" x14ac:dyDescent="0.25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</row>
    <row r="168" spans="1:12" x14ac:dyDescent="0.25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</row>
    <row r="169" spans="1:12" x14ac:dyDescent="0.25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</row>
    <row r="170" spans="1:12" x14ac:dyDescent="0.25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</row>
    <row r="171" spans="1:12" x14ac:dyDescent="0.25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</row>
    <row r="172" spans="1:12" x14ac:dyDescent="0.25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</row>
    <row r="173" spans="1:12" x14ac:dyDescent="0.25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</row>
    <row r="174" spans="1:12" x14ac:dyDescent="0.25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</row>
    <row r="175" spans="1:12" x14ac:dyDescent="0.25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</row>
    <row r="176" spans="1:12" x14ac:dyDescent="0.25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</row>
    <row r="177" spans="1:12" x14ac:dyDescent="0.25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</row>
    <row r="178" spans="1:12" x14ac:dyDescent="0.25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</row>
    <row r="179" spans="1:12" x14ac:dyDescent="0.25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</row>
    <row r="180" spans="1:12" x14ac:dyDescent="0.25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</row>
    <row r="181" spans="1:12" x14ac:dyDescent="0.25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</row>
    <row r="182" spans="1:12" x14ac:dyDescent="0.25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</row>
    <row r="183" spans="1:12" x14ac:dyDescent="0.25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</row>
    <row r="184" spans="1:12" x14ac:dyDescent="0.25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</row>
    <row r="185" spans="1:12" x14ac:dyDescent="0.25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</row>
    <row r="186" spans="1:12" x14ac:dyDescent="0.25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</row>
    <row r="187" spans="1:12" x14ac:dyDescent="0.25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</row>
    <row r="188" spans="1:12" x14ac:dyDescent="0.25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</row>
    <row r="189" spans="1:12" x14ac:dyDescent="0.25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</row>
    <row r="190" spans="1:12" x14ac:dyDescent="0.25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</row>
    <row r="191" spans="1:12" x14ac:dyDescent="0.25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</row>
    <row r="192" spans="1:12" x14ac:dyDescent="0.25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</row>
    <row r="193" spans="1:12" x14ac:dyDescent="0.25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</row>
    <row r="194" spans="1:12" x14ac:dyDescent="0.25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</row>
    <row r="195" spans="1:12" x14ac:dyDescent="0.25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</row>
    <row r="196" spans="1:12" x14ac:dyDescent="0.25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</row>
    <row r="197" spans="1:12" x14ac:dyDescent="0.25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</row>
    <row r="198" spans="1:12" x14ac:dyDescent="0.25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</row>
    <row r="199" spans="1:12" x14ac:dyDescent="0.25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</row>
    <row r="200" spans="1:12" x14ac:dyDescent="0.25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</row>
    <row r="201" spans="1:12" x14ac:dyDescent="0.25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</row>
    <row r="202" spans="1:12" x14ac:dyDescent="0.25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</row>
    <row r="203" spans="1:12" x14ac:dyDescent="0.25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</row>
    <row r="204" spans="1:12" x14ac:dyDescent="0.25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</row>
    <row r="205" spans="1:12" x14ac:dyDescent="0.25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</row>
    <row r="206" spans="1:12" x14ac:dyDescent="0.25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</row>
    <row r="207" spans="1:12" x14ac:dyDescent="0.25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</row>
    <row r="208" spans="1:12" x14ac:dyDescent="0.25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</row>
    <row r="209" spans="1:12" x14ac:dyDescent="0.25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</row>
    <row r="210" spans="1:12" x14ac:dyDescent="0.25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</row>
    <row r="211" spans="1:12" x14ac:dyDescent="0.25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</row>
    <row r="212" spans="1:12" x14ac:dyDescent="0.25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</row>
    <row r="213" spans="1:12" x14ac:dyDescent="0.25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</row>
  </sheetData>
  <sheetProtection password="9B85" sheet="1" objects="1" scenarios="1"/>
  <mergeCells count="6">
    <mergeCell ref="B29:D29"/>
    <mergeCell ref="B30:D30"/>
    <mergeCell ref="B31:D31"/>
    <mergeCell ref="B24:D24"/>
    <mergeCell ref="B25:D25"/>
    <mergeCell ref="B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opLeftCell="M35" workbookViewId="0">
      <selection activeCell="Z55" sqref="Z55"/>
    </sheetView>
  </sheetViews>
  <sheetFormatPr defaultColWidth="8.85546875" defaultRowHeight="12.75" x14ac:dyDescent="0.2"/>
  <cols>
    <col min="1" max="1" width="22.7109375" style="83" customWidth="1"/>
    <col min="2" max="2" width="9" style="83" customWidth="1"/>
    <col min="3" max="3" width="11.28515625" style="83" customWidth="1"/>
    <col min="4" max="4" width="12.28515625" style="83" bestFit="1" customWidth="1"/>
    <col min="5" max="5" width="10.5703125" style="83" customWidth="1"/>
    <col min="6" max="6" width="9.28515625" style="83" bestFit="1" customWidth="1"/>
    <col min="7" max="7" width="11.7109375" style="83" customWidth="1"/>
    <col min="8" max="8" width="4.85546875" style="83" customWidth="1"/>
    <col min="9" max="9" width="5.5703125" style="83" customWidth="1"/>
    <col min="10" max="10" width="4.7109375" style="83" customWidth="1"/>
    <col min="11" max="11" width="9.28515625" style="83" customWidth="1"/>
    <col min="12" max="12" width="8.85546875" style="83"/>
    <col min="13" max="13" width="10" style="83" bestFit="1" customWidth="1"/>
    <col min="14" max="14" width="8.85546875" style="83"/>
    <col min="15" max="15" width="9.42578125" style="83" customWidth="1"/>
    <col min="16" max="16" width="9.28515625" style="83" bestFit="1" customWidth="1"/>
    <col min="17" max="17" width="14.7109375" style="83" bestFit="1" customWidth="1"/>
    <col min="18" max="18" width="21" style="83" bestFit="1" customWidth="1"/>
    <col min="19" max="19" width="11.5703125" style="83" customWidth="1"/>
    <col min="20" max="20" width="11.140625" style="83" customWidth="1"/>
    <col min="21" max="21" width="13" style="83" customWidth="1"/>
    <col min="22" max="22" width="14.5703125" style="83" bestFit="1" customWidth="1"/>
    <col min="23" max="25" width="11.140625" style="83" customWidth="1"/>
    <col min="26" max="26" width="8.85546875" style="83"/>
    <col min="27" max="28" width="10" style="83" bestFit="1" customWidth="1"/>
    <col min="29" max="46" width="8.85546875" style="83"/>
    <col min="47" max="47" width="10.5703125" style="83" customWidth="1"/>
    <col min="48" max="16384" width="8.85546875" style="83"/>
  </cols>
  <sheetData>
    <row r="1" spans="1:28" ht="18.75" x14ac:dyDescent="0.3">
      <c r="A1" s="89" t="s">
        <v>67</v>
      </c>
    </row>
    <row r="2" spans="1:28" x14ac:dyDescent="0.2">
      <c r="A2" s="84" t="s">
        <v>4</v>
      </c>
    </row>
    <row r="3" spans="1:28" x14ac:dyDescent="0.2">
      <c r="A3" s="159" t="s">
        <v>5</v>
      </c>
      <c r="B3" s="92">
        <f>ACHTER_INVOER!B3</f>
        <v>100</v>
      </c>
    </row>
    <row r="4" spans="1:28" x14ac:dyDescent="0.2">
      <c r="A4" s="159" t="s">
        <v>62</v>
      </c>
      <c r="B4" s="92">
        <f>ACHTER_INVOER!B4</f>
        <v>0</v>
      </c>
    </row>
    <row r="5" spans="1:28" x14ac:dyDescent="0.2">
      <c r="A5" s="159" t="s">
        <v>63</v>
      </c>
      <c r="B5" s="92">
        <f>ACHTER_INVOER!B5</f>
        <v>0</v>
      </c>
    </row>
    <row r="6" spans="1:28" x14ac:dyDescent="0.2">
      <c r="A6" s="84"/>
      <c r="B6" s="93"/>
    </row>
    <row r="7" spans="1:28" x14ac:dyDescent="0.2">
      <c r="A7" s="159" t="s">
        <v>103</v>
      </c>
      <c r="B7" s="92">
        <f>ACHTER_INVOER!B7</f>
        <v>100</v>
      </c>
    </row>
    <row r="8" spans="1:28" x14ac:dyDescent="0.2">
      <c r="A8" s="159" t="s">
        <v>158</v>
      </c>
      <c r="B8" s="92">
        <f>ACHTER_INVOER!B8/B7</f>
        <v>7365</v>
      </c>
    </row>
    <row r="9" spans="1:28" x14ac:dyDescent="0.2">
      <c r="A9" s="159" t="s">
        <v>104</v>
      </c>
      <c r="B9" s="94">
        <f>ACHTER_INVOER!B9</f>
        <v>4.45</v>
      </c>
    </row>
    <row r="10" spans="1:28" x14ac:dyDescent="0.2">
      <c r="A10" s="159" t="s">
        <v>105</v>
      </c>
      <c r="B10" s="94">
        <f>ACHTER_INVOER!B10</f>
        <v>3.5</v>
      </c>
    </row>
    <row r="11" spans="1:28" x14ac:dyDescent="0.2">
      <c r="A11" s="159" t="s">
        <v>106</v>
      </c>
      <c r="B11" s="92">
        <f>ACHTER_INVOER!B11</f>
        <v>22</v>
      </c>
    </row>
    <row r="12" spans="1:28" x14ac:dyDescent="0.2">
      <c r="C12" s="200"/>
      <c r="D12" s="200"/>
      <c r="E12" s="200"/>
      <c r="F12" s="200"/>
      <c r="G12" s="200"/>
      <c r="H12" s="200"/>
      <c r="I12" s="200"/>
      <c r="O12" s="86"/>
      <c r="P12" s="86"/>
      <c r="Q12" s="86"/>
      <c r="AA12" s="200"/>
      <c r="AB12" s="200"/>
    </row>
    <row r="13" spans="1:28" ht="15" x14ac:dyDescent="0.25">
      <c r="A13" s="159" t="s">
        <v>0</v>
      </c>
      <c r="B13" s="92">
        <f>ACHTER_INVOER!B13</f>
        <v>40</v>
      </c>
      <c r="C13" s="591" t="s">
        <v>26</v>
      </c>
      <c r="D13" s="592"/>
      <c r="E13" s="592"/>
      <c r="F13" s="201" t="s">
        <v>65</v>
      </c>
      <c r="G13" s="199">
        <v>5.5</v>
      </c>
      <c r="H13" s="202" t="s">
        <v>1</v>
      </c>
      <c r="I13" s="200"/>
      <c r="AA13" s="200"/>
      <c r="AB13" s="200"/>
    </row>
    <row r="14" spans="1:28" x14ac:dyDescent="0.2">
      <c r="C14" s="200"/>
      <c r="D14" s="200"/>
      <c r="E14" s="200"/>
      <c r="F14" s="200"/>
      <c r="G14" s="200"/>
      <c r="H14" s="200"/>
      <c r="I14" s="200"/>
      <c r="AA14" s="200"/>
      <c r="AB14" s="200"/>
    </row>
    <row r="15" spans="1:28" ht="15" x14ac:dyDescent="0.25">
      <c r="A15" s="159" t="s">
        <v>6</v>
      </c>
      <c r="B15" s="92">
        <f>ACHTER_INVOER!B15</f>
        <v>32.5</v>
      </c>
      <c r="C15" s="591" t="s">
        <v>26</v>
      </c>
      <c r="D15" s="592"/>
      <c r="E15" s="592"/>
      <c r="F15" s="201" t="s">
        <v>65</v>
      </c>
      <c r="G15" s="199">
        <v>5.5</v>
      </c>
      <c r="H15" s="202" t="s">
        <v>1</v>
      </c>
      <c r="I15" s="200"/>
      <c r="AA15" s="200"/>
      <c r="AB15" s="200"/>
    </row>
    <row r="16" spans="1:28" x14ac:dyDescent="0.2">
      <c r="A16" s="84"/>
      <c r="B16" s="93"/>
    </row>
    <row r="21" spans="1:31" x14ac:dyDescent="0.2">
      <c r="A21" s="158" t="s">
        <v>186</v>
      </c>
    </row>
    <row r="22" spans="1:31" x14ac:dyDescent="0.2">
      <c r="A22" s="158"/>
      <c r="N22" s="85"/>
    </row>
    <row r="23" spans="1:31" x14ac:dyDescent="0.2">
      <c r="N23" s="214"/>
      <c r="O23" s="88" t="s">
        <v>148</v>
      </c>
      <c r="P23" s="88" t="s">
        <v>154</v>
      </c>
      <c r="Q23" s="88" t="s">
        <v>155</v>
      </c>
      <c r="R23" s="88" t="s">
        <v>156</v>
      </c>
      <c r="S23" s="88" t="s">
        <v>2</v>
      </c>
      <c r="T23" s="88" t="s">
        <v>3</v>
      </c>
      <c r="U23" s="88" t="s">
        <v>73</v>
      </c>
      <c r="V23" s="88" t="s">
        <v>166</v>
      </c>
      <c r="W23" s="88" t="s">
        <v>162</v>
      </c>
      <c r="X23" s="88" t="s">
        <v>160</v>
      </c>
      <c r="Y23" s="88" t="s">
        <v>170</v>
      </c>
    </row>
    <row r="24" spans="1:31" x14ac:dyDescent="0.2">
      <c r="N24" s="214"/>
      <c r="O24" s="86">
        <f>IF('RESULTAAT &amp; SIMULATIE'!M43&gt;0,IF('RESULTAAT &amp; SIMULATIE'!N43=LIJSTJES!G$3,'RESULTAAT &amp; SIMULATIE'!M43,IF('RESULTAAT &amp; SIMULATIE'!N43=LIJSTJES!G$2,'RESULTAAT &amp; SIMULATIE'!M43*'RESULTAAT &amp; SIMULATIE'!O43/1000,'RESULTAAT &amp; SIMULATIE'!M43*0)),0)</f>
        <v>150300</v>
      </c>
      <c r="P24" s="86">
        <f>IF('RESULTAAT &amp; SIMULATIE'!O43&gt;0,IF('RESULTAAT &amp; SIMULATIE'!N43=LIJSTJES!G$3,'RESULTAAT &amp; SIMULATIE'!M43/'RESULTAAT &amp; SIMULATIE'!O43*1000,'RESULTAAT &amp; SIMULATIE'!M43),0)</f>
        <v>167000</v>
      </c>
      <c r="Q24" s="86">
        <f>IF('RESULTAAT &amp; SIMULATIE'!O43&gt;750,P24,0)</f>
        <v>167000</v>
      </c>
      <c r="R24" s="86">
        <f>IF('RESULTAAT &amp; SIMULATIE'!O43&lt;750,O24,0)</f>
        <v>0</v>
      </c>
      <c r="S24" s="86">
        <f>'RESULTAAT &amp; SIMULATIE'!P43*'RESULTAAT &amp; SIMULATIE'!M43</f>
        <v>164495000</v>
      </c>
      <c r="T24" s="86">
        <f>'RESULTAAT &amp; SIMULATIE'!Q43*'RESULTAAT &amp; SIMULATIE'!M43</f>
        <v>868400</v>
      </c>
      <c r="U24" s="86">
        <f>IF('RESULTAAT &amp; SIMULATIE'!$N43=LIJSTJES!$G$2,'RESULTAAT &amp; SIMULATIE'!$M43*'RESULTAAT &amp; SIMULATIE'!R43,IF('RESULTAAT &amp; SIMULATIE'!$N43=LIJSTJES!$G$2,'RESULTAAT &amp; SIMULATIE'!$M43*'RESULTAAT &amp; SIMULATIE'!$O43/1000*'RESULTAAT &amp; SIMULATIE'!R43,'RESULTAAT &amp; SIMULATIE'!O43*0))</f>
        <v>29559000</v>
      </c>
      <c r="V24" s="86">
        <f>IF('RESULTAAT &amp; SIMULATIE'!O43&gt;750,O24,0)</f>
        <v>150300</v>
      </c>
      <c r="W24" s="86">
        <f>IF('RESULTAAT &amp; SIMULATIE'!O43&gt;0,'RESULTAAT &amp; SIMULATIE'!P43*V24/'RESULTAAT &amp; SIMULATIE'!O43*1000,0)</f>
        <v>164495000</v>
      </c>
      <c r="X24" s="86">
        <f t="shared" ref="X24:Y31" si="0">T24</f>
        <v>868400</v>
      </c>
      <c r="Y24" s="86">
        <f t="shared" si="0"/>
        <v>29559000</v>
      </c>
      <c r="Z24" s="86"/>
    </row>
    <row r="25" spans="1:31" ht="13.9" x14ac:dyDescent="0.3">
      <c r="N25" s="283"/>
      <c r="O25" s="86">
        <f>IF('RESULTAAT &amp; SIMULATIE'!M44&gt;0,IF('RESULTAAT &amp; SIMULATIE'!N44=LIJSTJES!G$3,'RESULTAAT &amp; SIMULATIE'!M44,IF('RESULTAAT &amp; SIMULATIE'!N44=LIJSTJES!G$2,'RESULTAAT &amp; SIMULATIE'!M44*'RESULTAAT &amp; SIMULATIE'!O44/1000,'RESULTAAT &amp; SIMULATIE'!M44*0)),0)</f>
        <v>32850</v>
      </c>
      <c r="P25" s="86">
        <f>IF('RESULTAAT &amp; SIMULATIE'!O44&gt;0,IF('RESULTAAT &amp; SIMULATIE'!N44=LIJSTJES!G$3,'RESULTAAT &amp; SIMULATIE'!M44/'RESULTAAT &amp; SIMULATIE'!O44*1000,'RESULTAAT &amp; SIMULATIE'!M44),0)</f>
        <v>36500</v>
      </c>
      <c r="Q25" s="86">
        <f>IF('RESULTAAT &amp; SIMULATIE'!O44&gt;750,P25,0)</f>
        <v>36500</v>
      </c>
      <c r="R25" s="86">
        <f>IF('RESULTAAT &amp; SIMULATIE'!O44&lt;750,O25,0)</f>
        <v>0</v>
      </c>
      <c r="S25" s="86">
        <f>'RESULTAAT &amp; SIMULATIE'!P44*'RESULTAAT &amp; SIMULATIE'!M44</f>
        <v>30952000</v>
      </c>
      <c r="T25" s="86">
        <f>'RESULTAAT &amp; SIMULATIE'!Q44*'RESULTAAT &amp; SIMULATIE'!M44</f>
        <v>434350</v>
      </c>
      <c r="U25" s="86">
        <f>IF('RESULTAAT &amp; SIMULATIE'!$N44=LIJSTJES!$G$2,'RESULTAAT &amp; SIMULATIE'!$M44*'RESULTAAT &amp; SIMULATIE'!R44,IF('RESULTAAT &amp; SIMULATIE'!$N44=LIJSTJES!$G$2,'RESULTAAT &amp; SIMULATIE'!$M44*'RESULTAAT &amp; SIMULATIE'!$O44/1000*'RESULTAAT &amp; SIMULATIE'!R44,'RESULTAAT &amp; SIMULATIE'!O44*0))</f>
        <v>11429062.5</v>
      </c>
      <c r="V25" s="86">
        <f>IF('RESULTAAT &amp; SIMULATIE'!O44&gt;750,O25,0)</f>
        <v>32850</v>
      </c>
      <c r="W25" s="86">
        <f>IF('RESULTAAT &amp; SIMULATIE'!O44&gt;0,'RESULTAAT &amp; SIMULATIE'!P44*V25/'RESULTAAT &amp; SIMULATIE'!O44*1000,0)</f>
        <v>30952000</v>
      </c>
      <c r="X25" s="86">
        <f t="shared" si="0"/>
        <v>434350</v>
      </c>
      <c r="Y25" s="86">
        <f t="shared" si="0"/>
        <v>11429062.5</v>
      </c>
      <c r="Z25" s="86"/>
    </row>
    <row r="26" spans="1:31" ht="13.9" x14ac:dyDescent="0.3">
      <c r="N26" s="283"/>
      <c r="O26" s="86">
        <f>IF('RESULTAAT &amp; SIMULATIE'!M45&gt;0,IF('RESULTAAT &amp; SIMULATIE'!N45=LIJSTJES!G$3,'RESULTAAT &amp; SIMULATIE'!M45,IF('RESULTAAT &amp; SIMULATIE'!N45=LIJSTJES!G$2,'RESULTAAT &amp; SIMULATIE'!M45*'RESULTAAT &amp; SIMULATIE'!O45/1000,'RESULTAAT &amp; SIMULATIE'!M45*0)),0)</f>
        <v>32850</v>
      </c>
      <c r="P26" s="86">
        <f>IF('RESULTAAT &amp; SIMULATIE'!O45&gt;0,IF('RESULTAAT &amp; SIMULATIE'!N45=LIJSTJES!G$3,'RESULTAAT &amp; SIMULATIE'!M45/'RESULTAAT &amp; SIMULATIE'!O45*1000,'RESULTAAT &amp; SIMULATIE'!M45),0)</f>
        <v>36500</v>
      </c>
      <c r="Q26" s="86">
        <f>IF('RESULTAAT &amp; SIMULATIE'!O45&gt;750,P26,0)</f>
        <v>36500</v>
      </c>
      <c r="R26" s="86">
        <f>IF('RESULTAAT &amp; SIMULATIE'!O45&lt;750,O26,0)</f>
        <v>0</v>
      </c>
      <c r="S26" s="86">
        <f>'RESULTAAT &amp; SIMULATIE'!P45*'RESULTAAT &amp; SIMULATIE'!M45</f>
        <v>37011000</v>
      </c>
      <c r="T26" s="86">
        <f>'RESULTAAT &amp; SIMULATIE'!Q45*'RESULTAAT &amp; SIMULATIE'!M45</f>
        <v>237250</v>
      </c>
      <c r="U26" s="86">
        <f>IF('RESULTAAT &amp; SIMULATIE'!$N45=LIJSTJES!$G$2,'RESULTAAT &amp; SIMULATIE'!$M45*'RESULTAAT &amp; SIMULATIE'!R45,IF('RESULTAAT &amp; SIMULATIE'!$N45=LIJSTJES!$G$2,'RESULTAAT &amp; SIMULATIE'!$M45*'RESULTAAT &amp; SIMULATIE'!$O45/1000*'RESULTAAT &amp; SIMULATIE'!R45,'RESULTAAT &amp; SIMULATIE'!O45*0))</f>
        <v>16949687.5</v>
      </c>
      <c r="V26" s="86">
        <f>IF('RESULTAAT &amp; SIMULATIE'!O45&gt;750,O26,0)</f>
        <v>32850</v>
      </c>
      <c r="W26" s="86">
        <f>IF('RESULTAAT &amp; SIMULATIE'!O45&gt;0,'RESULTAAT &amp; SIMULATIE'!P45*V26/'RESULTAAT &amp; SIMULATIE'!O45*1000,0)</f>
        <v>37011000</v>
      </c>
      <c r="X26" s="86">
        <f t="shared" si="0"/>
        <v>237250</v>
      </c>
      <c r="Y26" s="86">
        <f t="shared" si="0"/>
        <v>16949687.5</v>
      </c>
      <c r="Z26" s="86"/>
    </row>
    <row r="27" spans="1:31" ht="13.9" x14ac:dyDescent="0.3">
      <c r="N27" s="85"/>
      <c r="O27" s="86">
        <f>IF('RESULTAAT &amp; SIMULATIE'!M46&gt;0,IF('RESULTAAT &amp; SIMULATIE'!N46=LIJSTJES!G$3,'RESULTAAT &amp; SIMULATIE'!M46,IF('RESULTAAT &amp; SIMULATIE'!N46=LIJSTJES!G$2,'RESULTAAT &amp; SIMULATIE'!M46*'RESULTAAT &amp; SIMULATIE'!O46/1000,'RESULTAAT &amp; SIMULATIE'!M46*0)),0)</f>
        <v>0</v>
      </c>
      <c r="P27" s="86">
        <f>IF('RESULTAAT &amp; SIMULATIE'!O46&gt;0,IF('RESULTAAT &amp; SIMULATIE'!N46=LIJSTJES!G$3,'RESULTAAT &amp; SIMULATIE'!M46/'RESULTAAT &amp; SIMULATIE'!O46*1000,'RESULTAAT &amp; SIMULATIE'!M46),0)</f>
        <v>0</v>
      </c>
      <c r="Q27" s="86">
        <f>IF('RESULTAAT &amp; SIMULATIE'!O46&gt;750,P27,0)</f>
        <v>0</v>
      </c>
      <c r="R27" s="86">
        <f>IF('RESULTAAT &amp; SIMULATIE'!O46&lt;750,O27,0)</f>
        <v>0</v>
      </c>
      <c r="S27" s="86">
        <f>'RESULTAAT &amp; SIMULATIE'!P46*'RESULTAAT &amp; SIMULATIE'!M46</f>
        <v>0</v>
      </c>
      <c r="T27" s="86">
        <f>'RESULTAAT &amp; SIMULATIE'!Q46*'RESULTAAT &amp; SIMULATIE'!M46</f>
        <v>0</v>
      </c>
      <c r="U27" s="86">
        <f>IF('RESULTAAT &amp; SIMULATIE'!$N46=LIJSTJES!$G$2,'RESULTAAT &amp; SIMULATIE'!$M46*'RESULTAAT &amp; SIMULATIE'!R46,IF('RESULTAAT &amp; SIMULATIE'!$N46=LIJSTJES!$G$2,'RESULTAAT &amp; SIMULATIE'!$M46*'RESULTAAT &amp; SIMULATIE'!$O46/1000*'RESULTAAT &amp; SIMULATIE'!R46,'RESULTAAT &amp; SIMULATIE'!O46*0))</f>
        <v>0</v>
      </c>
      <c r="V27" s="86">
        <f>IF('RESULTAAT &amp; SIMULATIE'!O46&gt;750,O27,0)</f>
        <v>0</v>
      </c>
      <c r="W27" s="86">
        <f>IF('RESULTAAT &amp; SIMULATIE'!O46&gt;0,'RESULTAAT &amp; SIMULATIE'!P46*V27/'RESULTAAT &amp; SIMULATIE'!O46*1000,0)</f>
        <v>0</v>
      </c>
      <c r="X27" s="86">
        <f t="shared" si="0"/>
        <v>0</v>
      </c>
      <c r="Y27" s="86">
        <f t="shared" si="0"/>
        <v>0</v>
      </c>
      <c r="Z27" s="86"/>
    </row>
    <row r="28" spans="1:31" ht="13.9" x14ac:dyDescent="0.3">
      <c r="N28" s="85"/>
      <c r="O28" s="86">
        <f>IF('RESULTAAT &amp; SIMULATIE'!M47&gt;0,IF('RESULTAAT &amp; SIMULATIE'!N47=LIJSTJES!G$3,'RESULTAAT &amp; SIMULATIE'!M47,IF('RESULTAAT &amp; SIMULATIE'!N47=LIJSTJES!G$2,'RESULTAAT &amp; SIMULATIE'!M47*'RESULTAAT &amp; SIMULATIE'!O47/1000,'RESULTAAT &amp; SIMULATIE'!M47*0)),0)</f>
        <v>0</v>
      </c>
      <c r="P28" s="86">
        <f>IF('RESULTAAT &amp; SIMULATIE'!O47&gt;0,IF('RESULTAAT &amp; SIMULATIE'!N47=LIJSTJES!G$3,'RESULTAAT &amp; SIMULATIE'!M47/'RESULTAAT &amp; SIMULATIE'!O47*1000,'RESULTAAT &amp; SIMULATIE'!M47),0)</f>
        <v>0</v>
      </c>
      <c r="Q28" s="86">
        <f>IF('RESULTAAT &amp; SIMULATIE'!O47&gt;750,P28,0)</f>
        <v>0</v>
      </c>
      <c r="R28" s="86">
        <f>IF('RESULTAAT &amp; SIMULATIE'!O47&lt;750,O28,0)</f>
        <v>0</v>
      </c>
      <c r="S28" s="86">
        <f>'RESULTAAT &amp; SIMULATIE'!P47*'RESULTAAT &amp; SIMULATIE'!M47</f>
        <v>0</v>
      </c>
      <c r="T28" s="86">
        <f>'RESULTAAT &amp; SIMULATIE'!Q47*'RESULTAAT &amp; SIMULATIE'!M47</f>
        <v>0</v>
      </c>
      <c r="U28" s="86">
        <f>IF('RESULTAAT &amp; SIMULATIE'!$N47=LIJSTJES!$G$2,'RESULTAAT &amp; SIMULATIE'!$M47*'RESULTAAT &amp; SIMULATIE'!R47,IF('RESULTAAT &amp; SIMULATIE'!$N47=LIJSTJES!$G$2,'RESULTAAT &amp; SIMULATIE'!$M47*'RESULTAAT &amp; SIMULATIE'!$O47/1000*'RESULTAAT &amp; SIMULATIE'!R47,'RESULTAAT &amp; SIMULATIE'!O47*0))</f>
        <v>0</v>
      </c>
      <c r="V28" s="86">
        <f>IF('RESULTAAT &amp; SIMULATIE'!O47&gt;750,O28,0)</f>
        <v>0</v>
      </c>
      <c r="W28" s="86">
        <f>IF('RESULTAAT &amp; SIMULATIE'!O47&gt;0,'RESULTAAT &amp; SIMULATIE'!P47*V28/'RESULTAAT &amp; SIMULATIE'!O47*1000,0)</f>
        <v>0</v>
      </c>
      <c r="X28" s="86">
        <f t="shared" ref="X28:X30" si="1">T28</f>
        <v>0</v>
      </c>
      <c r="Y28" s="86">
        <f t="shared" ref="Y28:Y30" si="2">U28</f>
        <v>0</v>
      </c>
      <c r="Z28" s="86"/>
    </row>
    <row r="29" spans="1:31" ht="13.9" x14ac:dyDescent="0.3">
      <c r="N29" s="85"/>
      <c r="O29" s="86">
        <f>IF('RESULTAAT &amp; SIMULATIE'!M48&gt;0,IF('RESULTAAT &amp; SIMULATIE'!N48=LIJSTJES!G$3,'RESULTAAT &amp; SIMULATIE'!M48,IF('RESULTAAT &amp; SIMULATIE'!N48=LIJSTJES!G$2,'RESULTAAT &amp; SIMULATIE'!M48*'RESULTAAT &amp; SIMULATIE'!O48/1000,'RESULTAAT &amp; SIMULATIE'!M48*0)),0)</f>
        <v>0</v>
      </c>
      <c r="P29" s="86">
        <f>IF('RESULTAAT &amp; SIMULATIE'!O48&gt;0,IF('RESULTAAT &amp; SIMULATIE'!N48=LIJSTJES!G$3,'RESULTAAT &amp; SIMULATIE'!M48/'RESULTAAT &amp; SIMULATIE'!O48*1000,'RESULTAAT &amp; SIMULATIE'!M48),0)</f>
        <v>0</v>
      </c>
      <c r="Q29" s="86">
        <f>IF('RESULTAAT &amp; SIMULATIE'!O48&gt;750,P29,0)</f>
        <v>0</v>
      </c>
      <c r="R29" s="86">
        <f>IF('RESULTAAT &amp; SIMULATIE'!O48&lt;750,O29,0)</f>
        <v>0</v>
      </c>
      <c r="S29" s="86">
        <f>'RESULTAAT &amp; SIMULATIE'!P48*'RESULTAAT &amp; SIMULATIE'!M48</f>
        <v>0</v>
      </c>
      <c r="T29" s="86">
        <f>'RESULTAAT &amp; SIMULATIE'!Q48*'RESULTAAT &amp; SIMULATIE'!M48</f>
        <v>0</v>
      </c>
      <c r="U29" s="86">
        <f>IF('RESULTAAT &amp; SIMULATIE'!$N48=LIJSTJES!$G$2,'RESULTAAT &amp; SIMULATIE'!$M48*'RESULTAAT &amp; SIMULATIE'!R48,IF('RESULTAAT &amp; SIMULATIE'!$N48=LIJSTJES!$G$2,'RESULTAAT &amp; SIMULATIE'!$M48*'RESULTAAT &amp; SIMULATIE'!$O48/1000*'RESULTAAT &amp; SIMULATIE'!R48,'RESULTAAT &amp; SIMULATIE'!O48*0))</f>
        <v>0</v>
      </c>
      <c r="V29" s="86">
        <f>IF('RESULTAAT &amp; SIMULATIE'!O48&gt;750,O29,0)</f>
        <v>0</v>
      </c>
      <c r="W29" s="86">
        <f>IF('RESULTAAT &amp; SIMULATIE'!O48&gt;0,'RESULTAAT &amp; SIMULATIE'!P48*V29/'RESULTAAT &amp; SIMULATIE'!O48*1000,0)</f>
        <v>0</v>
      </c>
      <c r="X29" s="86">
        <f t="shared" si="1"/>
        <v>0</v>
      </c>
      <c r="Y29" s="86">
        <f t="shared" si="2"/>
        <v>0</v>
      </c>
      <c r="Z29" s="86"/>
    </row>
    <row r="30" spans="1:31" ht="13.9" x14ac:dyDescent="0.3">
      <c r="N30" s="85"/>
      <c r="O30" s="86">
        <f>IF('RESULTAAT &amp; SIMULATIE'!M49&gt;0,IF('RESULTAAT &amp; SIMULATIE'!N49=LIJSTJES!G$3,'RESULTAAT &amp; SIMULATIE'!M49,IF('RESULTAAT &amp; SIMULATIE'!N49=LIJSTJES!G$2,'RESULTAAT &amp; SIMULATIE'!M49*'RESULTAAT &amp; SIMULATIE'!O49/1000,'RESULTAAT &amp; SIMULATIE'!M49*0)),0)</f>
        <v>0</v>
      </c>
      <c r="P30" s="86">
        <f>IF('RESULTAAT &amp; SIMULATIE'!O49&gt;0,IF('RESULTAAT &amp; SIMULATIE'!N49=LIJSTJES!G$3,'RESULTAAT &amp; SIMULATIE'!M49/'RESULTAAT &amp; SIMULATIE'!O49*1000,'RESULTAAT &amp; SIMULATIE'!M49),0)</f>
        <v>0</v>
      </c>
      <c r="Q30" s="86">
        <f>IF('RESULTAAT &amp; SIMULATIE'!O49&gt;750,P30,0)</f>
        <v>0</v>
      </c>
      <c r="R30" s="86">
        <f>IF('RESULTAAT &amp; SIMULATIE'!O49&lt;750,O30,0)</f>
        <v>0</v>
      </c>
      <c r="S30" s="86">
        <f>'RESULTAAT &amp; SIMULATIE'!P49*'RESULTAAT &amp; SIMULATIE'!M49</f>
        <v>0</v>
      </c>
      <c r="T30" s="86">
        <f>'RESULTAAT &amp; SIMULATIE'!Q49*'RESULTAAT &amp; SIMULATIE'!M49</f>
        <v>0</v>
      </c>
      <c r="U30" s="86">
        <f>IF('RESULTAAT &amp; SIMULATIE'!$N49=LIJSTJES!$G$2,'RESULTAAT &amp; SIMULATIE'!$M49*'RESULTAAT &amp; SIMULATIE'!R49,IF('RESULTAAT &amp; SIMULATIE'!$N49=LIJSTJES!$G$2,'RESULTAAT &amp; SIMULATIE'!$M49*'RESULTAAT &amp; SIMULATIE'!$O49/1000*'RESULTAAT &amp; SIMULATIE'!R49,'RESULTAAT &amp; SIMULATIE'!O49*0))</f>
        <v>0</v>
      </c>
      <c r="V30" s="86">
        <f>IF('RESULTAAT &amp; SIMULATIE'!O49&gt;750,O30,0)</f>
        <v>0</v>
      </c>
      <c r="W30" s="86">
        <f>IF('RESULTAAT &amp; SIMULATIE'!O49&gt;0,'RESULTAAT &amp; SIMULATIE'!P49*V30/'RESULTAAT &amp; SIMULATIE'!O49*1000,0)</f>
        <v>0</v>
      </c>
      <c r="X30" s="86">
        <f t="shared" si="1"/>
        <v>0</v>
      </c>
      <c r="Y30" s="86">
        <f t="shared" si="2"/>
        <v>0</v>
      </c>
      <c r="Z30" s="86"/>
    </row>
    <row r="31" spans="1:31" ht="13.9" x14ac:dyDescent="0.3">
      <c r="O31" s="86">
        <f>IF('RESULTAAT &amp; SIMULATIE'!M50&gt;0,IF('RESULTAAT &amp; SIMULATIE'!N50=LIJSTJES!G$3,'RESULTAAT &amp; SIMULATIE'!M50,IF('RESULTAAT &amp; SIMULATIE'!N50=LIJSTJES!G$2,'RESULTAAT &amp; SIMULATIE'!M50*'RESULTAAT &amp; SIMULATIE'!O50/1000,'RESULTAAT &amp; SIMULATIE'!M50*0)),0)</f>
        <v>3650</v>
      </c>
      <c r="P31" s="86">
        <f>IF('RESULTAAT &amp; SIMULATIE'!O50&gt;0,IF('RESULTAAT &amp; SIMULATIE'!N50=LIJSTJES!G$3,'RESULTAAT &amp; SIMULATIE'!M50/'RESULTAAT &amp; SIMULATIE'!O50*1000,'RESULTAAT &amp; SIMULATIE'!M50),0)</f>
        <v>3650</v>
      </c>
      <c r="Q31" s="86">
        <f>IF('RESULTAAT &amp; SIMULATIE'!O50&gt;750,P31,0)</f>
        <v>3650</v>
      </c>
      <c r="R31" s="86">
        <f>IF('RESULTAAT &amp; SIMULATIE'!O50&lt;750,O31,0)</f>
        <v>0</v>
      </c>
      <c r="S31" s="86">
        <f>'RESULTAAT &amp; SIMULATIE'!P50*'RESULTAAT &amp; SIMULATIE'!M50</f>
        <v>0</v>
      </c>
      <c r="T31" s="86">
        <f>'RESULTAAT &amp; SIMULATIE'!Q50*'RESULTAAT &amp; SIMULATIE'!M50</f>
        <v>15330</v>
      </c>
      <c r="U31" s="86">
        <f>IF('RESULTAAT &amp; SIMULATIE'!$N50=LIJSTJES!$G$2,'RESULTAAT &amp; SIMULATIE'!$M50*'RESULTAAT &amp; SIMULATIE'!R50,IF('RESULTAAT &amp; SIMULATIE'!$N50=LIJSTJES!$G$2,'RESULTAAT &amp; SIMULATIE'!$M50*'RESULTAAT &amp; SIMULATIE'!$O50/1000*'RESULTAAT &amp; SIMULATIE'!R50,'RESULTAAT &amp; SIMULATIE'!O50*0))</f>
        <v>22812.5</v>
      </c>
      <c r="V31" s="86">
        <f>IF('RESULTAAT &amp; SIMULATIE'!O50&gt;750,O31,0)</f>
        <v>3650</v>
      </c>
      <c r="W31" s="86">
        <f>IF('RESULTAAT &amp; SIMULATIE'!O50&gt;0,'RESULTAAT &amp; SIMULATIE'!P50*V31/'RESULTAAT &amp; SIMULATIE'!O50*1000,0)</f>
        <v>0</v>
      </c>
      <c r="X31" s="86">
        <f t="shared" si="0"/>
        <v>15330</v>
      </c>
      <c r="Y31" s="86">
        <f t="shared" si="0"/>
        <v>22812.5</v>
      </c>
      <c r="Z31" s="86"/>
    </row>
    <row r="32" spans="1:31" ht="13.9" x14ac:dyDescent="0.3">
      <c r="A32" s="85"/>
      <c r="N32" s="85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85"/>
      <c r="AB32" s="85"/>
      <c r="AC32" s="85"/>
      <c r="AD32" s="85"/>
      <c r="AE32" s="85"/>
    </row>
    <row r="33" spans="1:31" ht="13.9" x14ac:dyDescent="0.3">
      <c r="A33" s="211" t="s">
        <v>189</v>
      </c>
      <c r="N33" s="85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85"/>
      <c r="AB33" s="85"/>
      <c r="AC33" s="85"/>
      <c r="AD33" s="85"/>
      <c r="AE33" s="85"/>
    </row>
    <row r="34" spans="1:31" ht="13.9" x14ac:dyDescent="0.3">
      <c r="A34" s="158"/>
      <c r="N34" s="85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85"/>
      <c r="AB34" s="85"/>
      <c r="AC34" s="85"/>
      <c r="AD34" s="85"/>
      <c r="AE34" s="85"/>
    </row>
    <row r="35" spans="1:31" x14ac:dyDescent="0.2">
      <c r="O35" s="86">
        <f>IF('RESULTAAT &amp; SIMULATIE'!M55&gt;0,IF('RESULTAAT &amp; SIMULATIE'!N55=LIJSTJES!G$3,'RESULTAAT &amp; SIMULATIE'!M55,IF('RESULTAAT &amp; SIMULATIE'!N55=LIJSTJES!G$2,'RESULTAAT &amp; SIMULATIE'!M55*'RESULTAAT &amp; SIMULATIE'!O55/1000,'RESULTAAT &amp; SIMULATIE'!M55*0)),0)</f>
        <v>0</v>
      </c>
      <c r="P35" s="86">
        <f>IF('RESULTAAT &amp; SIMULATIE'!O55&gt;0,IF('RESULTAAT &amp; SIMULATIE'!N55=LIJSTJES!G$3,'RESULTAAT &amp; SIMULATIE'!M55/'RESULTAAT &amp; SIMULATIE'!O55*1000,'RESULTAAT &amp; SIMULATIE'!M55),0)</f>
        <v>0</v>
      </c>
      <c r="Q35" s="86">
        <f>IF('RESULTAAT &amp; SIMULATIE'!O55&gt;750,P35,0)</f>
        <v>0</v>
      </c>
      <c r="R35" s="86">
        <f>IF('RESULTAAT &amp; SIMULATIE'!O55&lt;750,O35,0)</f>
        <v>0</v>
      </c>
      <c r="S35" s="86">
        <f>IF('RESULTAAT &amp; SIMULATIE'!N55=LIJSTJES!G$3,'RESULTAAT &amp; SIMULATIE'!M55*'RESULTAAT &amp; SIMULATIE'!P55,IF('RESULTAAT &amp; SIMULATIE'!N55=LIJSTJES!G$2,'RESULTAAT &amp; SIMULATIE'!M55*'RESULTAAT &amp; SIMULATIE'!O55/1000*'RESULTAAT &amp; SIMULATIE'!P55,'RESULTAAT &amp; SIMULATIE'!M55*0))</f>
        <v>0</v>
      </c>
      <c r="T35" s="86">
        <f>IF('RESULTAAT &amp; SIMULATIE'!$N55=LIJSTJES!$G$3,'RESULTAAT &amp; SIMULATIE'!$M55*'RESULTAAT &amp; SIMULATIE'!Q55,IF('RESULTAAT &amp; SIMULATIE'!$N55=LIJSTJES!$G$2,'RESULTAAT &amp; SIMULATIE'!$M55*'RESULTAAT &amp; SIMULATIE'!$O55/1000*'RESULTAAT &amp; SIMULATIE'!Q55,'RESULTAAT &amp; SIMULATIE'!N55*0))</f>
        <v>0</v>
      </c>
      <c r="U35" s="86">
        <f>IF('RESULTAAT &amp; SIMULATIE'!$N55=LIJSTJES!$G$3,'RESULTAAT &amp; SIMULATIE'!$M55*'RESULTAAT &amp; SIMULATIE'!R55,IF('RESULTAAT &amp; SIMULATIE'!$N55=LIJSTJES!$G$2,'RESULTAAT &amp; SIMULATIE'!$M55*'RESULTAAT &amp; SIMULATIE'!$O55/1000*'RESULTAAT &amp; SIMULATIE'!R55,'RESULTAAT &amp; SIMULATIE'!O55*0))</f>
        <v>0</v>
      </c>
      <c r="V35" s="86">
        <f>IF('RESULTAAT &amp; SIMULATIE'!O55&gt;750,O35,0)</f>
        <v>0</v>
      </c>
      <c r="W35" s="86">
        <f>'RESULTAAT &amp; SIMULATIE'!P55*V35</f>
        <v>0</v>
      </c>
      <c r="X35" s="86">
        <f>'RESULTAAT &amp; SIMULATIE'!Q55*V35</f>
        <v>0</v>
      </c>
      <c r="Y35" s="86">
        <f>'RESULTAAT &amp; SIMULATIE'!R55*V35</f>
        <v>0</v>
      </c>
      <c r="Z35" s="86"/>
    </row>
    <row r="36" spans="1:31" x14ac:dyDescent="0.2">
      <c r="O36" s="86">
        <f>IF('RESULTAAT &amp; SIMULATIE'!M56&gt;0,IF('RESULTAAT &amp; SIMULATIE'!N56=LIJSTJES!G$3,'RESULTAAT &amp; SIMULATIE'!M56,IF('RESULTAAT &amp; SIMULATIE'!N56=LIJSTJES!G$2,'RESULTAAT &amp; SIMULATIE'!M56*'RESULTAAT &amp; SIMULATIE'!O56/1000,'RESULTAAT &amp; SIMULATIE'!M56*0)),0)</f>
        <v>0</v>
      </c>
      <c r="P36" s="86">
        <f>IF('RESULTAAT &amp; SIMULATIE'!O56&gt;0,IF('RESULTAAT &amp; SIMULATIE'!N56=LIJSTJES!G$3,'RESULTAAT &amp; SIMULATIE'!M56/'RESULTAAT &amp; SIMULATIE'!O56*1000,'RESULTAAT &amp; SIMULATIE'!M56),0)</f>
        <v>0</v>
      </c>
      <c r="Q36" s="86">
        <f>IF('RESULTAAT &amp; SIMULATIE'!O56&gt;750,P36,0)</f>
        <v>0</v>
      </c>
      <c r="R36" s="86">
        <f>IF('RESULTAAT &amp; SIMULATIE'!O56&lt;750,O36,0)</f>
        <v>0</v>
      </c>
      <c r="S36" s="86">
        <f>IF('RESULTAAT &amp; SIMULATIE'!N56=LIJSTJES!G$3,'RESULTAAT &amp; SIMULATIE'!M56*'RESULTAAT &amp; SIMULATIE'!P56,IF('RESULTAAT &amp; SIMULATIE'!N56=LIJSTJES!G$2,'RESULTAAT &amp; SIMULATIE'!M56*'RESULTAAT &amp; SIMULATIE'!O56/1000*'RESULTAAT &amp; SIMULATIE'!P56,'RESULTAAT &amp; SIMULATIE'!M56*0))</f>
        <v>0</v>
      </c>
      <c r="T36" s="86">
        <f>IF('RESULTAAT &amp; SIMULATIE'!$N56=LIJSTJES!$G$3,'RESULTAAT &amp; SIMULATIE'!$M56*'RESULTAAT &amp; SIMULATIE'!Q56,IF('RESULTAAT &amp; SIMULATIE'!$N56=LIJSTJES!$G$2,'RESULTAAT &amp; SIMULATIE'!$M56*'RESULTAAT &amp; SIMULATIE'!$O56/1000*'RESULTAAT &amp; SIMULATIE'!Q56,'RESULTAAT &amp; SIMULATIE'!N56*0))</f>
        <v>0</v>
      </c>
      <c r="U36" s="86">
        <f>IF('RESULTAAT &amp; SIMULATIE'!$N56=LIJSTJES!$G$3,'RESULTAAT &amp; SIMULATIE'!$M56*'RESULTAAT &amp; SIMULATIE'!R56,IF('RESULTAAT &amp; SIMULATIE'!$N56=LIJSTJES!$G$2,'RESULTAAT &amp; SIMULATIE'!$M56*'RESULTAAT &amp; SIMULATIE'!$O56/1000*'RESULTAAT &amp; SIMULATIE'!R56,'RESULTAAT &amp; SIMULATIE'!O56*0))</f>
        <v>0</v>
      </c>
      <c r="V36" s="86">
        <f>IF('RESULTAAT &amp; SIMULATIE'!O56&gt;750,O36,0)</f>
        <v>0</v>
      </c>
      <c r="W36" s="86">
        <f>'RESULTAAT &amp; SIMULATIE'!P56*V36</f>
        <v>0</v>
      </c>
      <c r="X36" s="86">
        <f>'RESULTAAT &amp; SIMULATIE'!Q56*V36</f>
        <v>0</v>
      </c>
      <c r="Y36" s="86">
        <f>'RESULTAAT &amp; SIMULATIE'!R56*V36</f>
        <v>0</v>
      </c>
      <c r="Z36" s="86"/>
    </row>
    <row r="37" spans="1:31" x14ac:dyDescent="0.2">
      <c r="O37" s="86">
        <f>IF('RESULTAAT &amp; SIMULATIE'!M57&gt;0,IF('RESULTAAT &amp; SIMULATIE'!N57=LIJSTJES!G$3,'RESULTAAT &amp; SIMULATIE'!M57,IF('RESULTAAT &amp; SIMULATIE'!N57=LIJSTJES!G$2,'RESULTAAT &amp; SIMULATIE'!M57*'RESULTAAT &amp; SIMULATIE'!O57/1000,'RESULTAAT &amp; SIMULATIE'!M57*0)),0)</f>
        <v>0</v>
      </c>
      <c r="P37" s="86">
        <f>IF('RESULTAAT &amp; SIMULATIE'!O57&gt;0,IF('RESULTAAT &amp; SIMULATIE'!N57=LIJSTJES!G$3,'RESULTAAT &amp; SIMULATIE'!M57/'RESULTAAT &amp; SIMULATIE'!O57*1000,'RESULTAAT &amp; SIMULATIE'!M57),0)</f>
        <v>0</v>
      </c>
      <c r="Q37" s="86">
        <f>IF('RESULTAAT &amp; SIMULATIE'!O57&gt;750,P37,0)</f>
        <v>0</v>
      </c>
      <c r="R37" s="86">
        <f>IF('RESULTAAT &amp; SIMULATIE'!O57&lt;750,O37,0)</f>
        <v>0</v>
      </c>
      <c r="S37" s="86">
        <f>IF('RESULTAAT &amp; SIMULATIE'!N57=LIJSTJES!G$3,'RESULTAAT &amp; SIMULATIE'!M57*'RESULTAAT &amp; SIMULATIE'!P57,IF('RESULTAAT &amp; SIMULATIE'!N57=LIJSTJES!G$2,'RESULTAAT &amp; SIMULATIE'!M57*'RESULTAAT &amp; SIMULATIE'!O57/1000*'RESULTAAT &amp; SIMULATIE'!P57,'RESULTAAT &amp; SIMULATIE'!M57*0))</f>
        <v>0</v>
      </c>
      <c r="T37" s="86">
        <f>IF('RESULTAAT &amp; SIMULATIE'!$N57=LIJSTJES!$G$3,'RESULTAAT &amp; SIMULATIE'!$M57*'RESULTAAT &amp; SIMULATIE'!Q57,IF('RESULTAAT &amp; SIMULATIE'!$N57=LIJSTJES!$G$2,'RESULTAAT &amp; SIMULATIE'!$M57*'RESULTAAT &amp; SIMULATIE'!$O57/1000*'RESULTAAT &amp; SIMULATIE'!Q57,'RESULTAAT &amp; SIMULATIE'!N57*0))</f>
        <v>0</v>
      </c>
      <c r="U37" s="86">
        <f>IF('RESULTAAT &amp; SIMULATIE'!$N57=LIJSTJES!$G$3,'RESULTAAT &amp; SIMULATIE'!$M57*'RESULTAAT &amp; SIMULATIE'!R57,IF('RESULTAAT &amp; SIMULATIE'!$N57=LIJSTJES!$G$2,'RESULTAAT &amp; SIMULATIE'!$M57*'RESULTAAT &amp; SIMULATIE'!$O57/1000*'RESULTAAT &amp; SIMULATIE'!R57,'RESULTAAT &amp; SIMULATIE'!O57*0))</f>
        <v>0</v>
      </c>
      <c r="V37" s="86">
        <f>IF('RESULTAAT &amp; SIMULATIE'!O57&gt;750,O37,0)</f>
        <v>0</v>
      </c>
      <c r="W37" s="86">
        <f>'RESULTAAT &amp; SIMULATIE'!P57*V37</f>
        <v>0</v>
      </c>
      <c r="X37" s="86">
        <f>'RESULTAAT &amp; SIMULATIE'!Q57*V37</f>
        <v>0</v>
      </c>
      <c r="Y37" s="86">
        <f>'RESULTAAT &amp; SIMULATIE'!R57*V37</f>
        <v>0</v>
      </c>
      <c r="Z37" s="86"/>
    </row>
    <row r="38" spans="1:31" x14ac:dyDescent="0.2">
      <c r="O38" s="86">
        <f>IF('RESULTAAT &amp; SIMULATIE'!M58&gt;0,IF('RESULTAAT &amp; SIMULATIE'!N58=LIJSTJES!G$3,'RESULTAAT &amp; SIMULATIE'!M58,IF('RESULTAAT &amp; SIMULATIE'!N58=LIJSTJES!G$2,'RESULTAAT &amp; SIMULATIE'!M58*'RESULTAAT &amp; SIMULATIE'!O58/1000,'RESULTAAT &amp; SIMULATIE'!M58*0)),0)</f>
        <v>0</v>
      </c>
      <c r="P38" s="86">
        <f>IF('RESULTAAT &amp; SIMULATIE'!O58&gt;0,IF('RESULTAAT &amp; SIMULATIE'!N58=LIJSTJES!G$3,'RESULTAAT &amp; SIMULATIE'!M58/'RESULTAAT &amp; SIMULATIE'!O58*1000,'RESULTAAT &amp; SIMULATIE'!M58),0)</f>
        <v>0</v>
      </c>
      <c r="Q38" s="86">
        <f>IF('RESULTAAT &amp; SIMULATIE'!O58&gt;750,P38,0)</f>
        <v>0</v>
      </c>
      <c r="R38" s="86">
        <f>IF('RESULTAAT &amp; SIMULATIE'!O58&lt;750,O38,0)</f>
        <v>0</v>
      </c>
      <c r="S38" s="86">
        <f>IF('RESULTAAT &amp; SIMULATIE'!N58=LIJSTJES!G$3,'RESULTAAT &amp; SIMULATIE'!M58*'RESULTAAT &amp; SIMULATIE'!P58,IF('RESULTAAT &amp; SIMULATIE'!N58=LIJSTJES!G$2,'RESULTAAT &amp; SIMULATIE'!M58*'RESULTAAT &amp; SIMULATIE'!O58/1000*'RESULTAAT &amp; SIMULATIE'!P58,'RESULTAAT &amp; SIMULATIE'!M58*0))</f>
        <v>0</v>
      </c>
      <c r="T38" s="86">
        <f>IF('RESULTAAT &amp; SIMULATIE'!$N58=LIJSTJES!$G$3,'RESULTAAT &amp; SIMULATIE'!$M58*'RESULTAAT &amp; SIMULATIE'!Q58,IF('RESULTAAT &amp; SIMULATIE'!$N58=LIJSTJES!$G$2,'RESULTAAT &amp; SIMULATIE'!$M58*'RESULTAAT &amp; SIMULATIE'!$O58/1000*'RESULTAAT &amp; SIMULATIE'!Q58,'RESULTAAT &amp; SIMULATIE'!N58*0))</f>
        <v>0</v>
      </c>
      <c r="U38" s="86">
        <f>IF('RESULTAAT &amp; SIMULATIE'!$N58=LIJSTJES!$G$3,'RESULTAAT &amp; SIMULATIE'!$M58*'RESULTAAT &amp; SIMULATIE'!R58,IF('RESULTAAT &amp; SIMULATIE'!$N58=LIJSTJES!$G$2,'RESULTAAT &amp; SIMULATIE'!$M58*'RESULTAAT &amp; SIMULATIE'!$O58/1000*'RESULTAAT &amp; SIMULATIE'!R58,'RESULTAAT &amp; SIMULATIE'!O58*0))</f>
        <v>0</v>
      </c>
      <c r="V38" s="86">
        <f>IF('RESULTAAT &amp; SIMULATIE'!O58&gt;750,O38,0)</f>
        <v>0</v>
      </c>
      <c r="W38" s="86">
        <f>'RESULTAAT &amp; SIMULATIE'!P58*V38</f>
        <v>0</v>
      </c>
      <c r="X38" s="86">
        <f>'RESULTAAT &amp; SIMULATIE'!Q58*V38</f>
        <v>0</v>
      </c>
      <c r="Y38" s="86">
        <f>'RESULTAAT &amp; SIMULATIE'!R58*V38</f>
        <v>0</v>
      </c>
      <c r="Z38" s="86"/>
    </row>
    <row r="39" spans="1:31" x14ac:dyDescent="0.2">
      <c r="O39" s="86">
        <f>IF('RESULTAAT &amp; SIMULATIE'!M59&gt;0,IF('RESULTAAT &amp; SIMULATIE'!N59=LIJSTJES!G$3,'RESULTAAT &amp; SIMULATIE'!M59,IF('RESULTAAT &amp; SIMULATIE'!N59=LIJSTJES!G$2,'RESULTAAT &amp; SIMULATIE'!M59*'RESULTAAT &amp; SIMULATIE'!O59/1000,'RESULTAAT &amp; SIMULATIE'!M59*0)),0)</f>
        <v>0</v>
      </c>
      <c r="P39" s="86">
        <f>IF('RESULTAAT &amp; SIMULATIE'!O59&gt;0,IF('RESULTAAT &amp; SIMULATIE'!N59=LIJSTJES!G$3,'RESULTAAT &amp; SIMULATIE'!M59/'RESULTAAT &amp; SIMULATIE'!O59*1000,'RESULTAAT &amp; SIMULATIE'!M59),0)</f>
        <v>0</v>
      </c>
      <c r="Q39" s="86">
        <f>IF('RESULTAAT &amp; SIMULATIE'!O59&gt;750,P39,0)</f>
        <v>0</v>
      </c>
      <c r="R39" s="86">
        <f>IF('RESULTAAT &amp; SIMULATIE'!O59&lt;750,O39,0)</f>
        <v>0</v>
      </c>
      <c r="S39" s="86">
        <f>IF('RESULTAAT &amp; SIMULATIE'!N59=LIJSTJES!G$3,'RESULTAAT &amp; SIMULATIE'!M59*'RESULTAAT &amp; SIMULATIE'!P59,IF('RESULTAAT &amp; SIMULATIE'!N59=LIJSTJES!G$2,'RESULTAAT &amp; SIMULATIE'!M59*'RESULTAAT &amp; SIMULATIE'!O59/1000*'RESULTAAT &amp; SIMULATIE'!P59,'RESULTAAT &amp; SIMULATIE'!M59*0))</f>
        <v>0</v>
      </c>
      <c r="T39" s="86">
        <f>IF('RESULTAAT &amp; SIMULATIE'!$N59=LIJSTJES!$G$3,'RESULTAAT &amp; SIMULATIE'!$M59*'RESULTAAT &amp; SIMULATIE'!Q59,IF('RESULTAAT &amp; SIMULATIE'!$N59=LIJSTJES!$G$2,'RESULTAAT &amp; SIMULATIE'!$M59*'RESULTAAT &amp; SIMULATIE'!$O59/1000*'RESULTAAT &amp; SIMULATIE'!Q59,'RESULTAAT &amp; SIMULATIE'!N59*0))</f>
        <v>0</v>
      </c>
      <c r="U39" s="86">
        <f>IF('RESULTAAT &amp; SIMULATIE'!$N59=LIJSTJES!$G$3,'RESULTAAT &amp; SIMULATIE'!$M59*'RESULTAAT &amp; SIMULATIE'!R59,IF('RESULTAAT &amp; SIMULATIE'!$N59=LIJSTJES!$G$2,'RESULTAAT &amp; SIMULATIE'!$M59*'RESULTAAT &amp; SIMULATIE'!$O59/1000*'RESULTAAT &amp; SIMULATIE'!R59,'RESULTAAT &amp; SIMULATIE'!O59*0))</f>
        <v>0</v>
      </c>
      <c r="V39" s="86">
        <f>IF('RESULTAAT &amp; SIMULATIE'!O59&gt;750,O39,0)</f>
        <v>0</v>
      </c>
      <c r="W39" s="86">
        <f>'RESULTAAT &amp; SIMULATIE'!P59*V39</f>
        <v>0</v>
      </c>
      <c r="X39" s="86">
        <f>'RESULTAAT &amp; SIMULATIE'!Q59*V39</f>
        <v>0</v>
      </c>
      <c r="Y39" s="86">
        <f>'RESULTAAT &amp; SIMULATIE'!R59*V39</f>
        <v>0</v>
      </c>
      <c r="Z39" s="86"/>
    </row>
    <row r="40" spans="1:31" x14ac:dyDescent="0.2">
      <c r="O40" s="86">
        <f>IF('RESULTAAT &amp; SIMULATIE'!M60&gt;0,IF('RESULTAAT &amp; SIMULATIE'!N60=LIJSTJES!G$3,'RESULTAAT &amp; SIMULATIE'!M60,IF('RESULTAAT &amp; SIMULATIE'!N60=LIJSTJES!G$2,'RESULTAAT &amp; SIMULATIE'!M60*'RESULTAAT &amp; SIMULATIE'!O60/1000,'RESULTAAT &amp; SIMULATIE'!M60*0)),0)</f>
        <v>0</v>
      </c>
      <c r="P40" s="86">
        <f>IF('RESULTAAT &amp; SIMULATIE'!O60&gt;0,IF('RESULTAAT &amp; SIMULATIE'!N60=LIJSTJES!G$3,'RESULTAAT &amp; SIMULATIE'!M60/'RESULTAAT &amp; SIMULATIE'!O60*1000,'RESULTAAT &amp; SIMULATIE'!M60),0)</f>
        <v>0</v>
      </c>
      <c r="Q40" s="86">
        <f>IF('RESULTAAT &amp; SIMULATIE'!O60&gt;750,P40,0)</f>
        <v>0</v>
      </c>
      <c r="R40" s="86">
        <f>IF('RESULTAAT &amp; SIMULATIE'!O60&lt;750,O40,0)</f>
        <v>0</v>
      </c>
      <c r="S40" s="86">
        <f>IF('RESULTAAT &amp; SIMULATIE'!N60=LIJSTJES!G$3,'RESULTAAT &amp; SIMULATIE'!M60*'RESULTAAT &amp; SIMULATIE'!P60,IF('RESULTAAT &amp; SIMULATIE'!N60=LIJSTJES!G$2,'RESULTAAT &amp; SIMULATIE'!M60*'RESULTAAT &amp; SIMULATIE'!O60/1000*'RESULTAAT &amp; SIMULATIE'!P60,'RESULTAAT &amp; SIMULATIE'!M60*0))</f>
        <v>0</v>
      </c>
      <c r="T40" s="86">
        <f>IF('RESULTAAT &amp; SIMULATIE'!$N60=LIJSTJES!$G$3,'RESULTAAT &amp; SIMULATIE'!$M60*'RESULTAAT &amp; SIMULATIE'!Q60,IF('RESULTAAT &amp; SIMULATIE'!$N60=LIJSTJES!$G$2,'RESULTAAT &amp; SIMULATIE'!$M60*'RESULTAAT &amp; SIMULATIE'!$O60/1000*'RESULTAAT &amp; SIMULATIE'!Q60,'RESULTAAT &amp; SIMULATIE'!N60*0))</f>
        <v>0</v>
      </c>
      <c r="U40" s="86">
        <f>IF('RESULTAAT &amp; SIMULATIE'!$N60=LIJSTJES!$G$3,'RESULTAAT &amp; SIMULATIE'!$M60*'RESULTAAT &amp; SIMULATIE'!R60,IF('RESULTAAT &amp; SIMULATIE'!$N60=LIJSTJES!$G$2,'RESULTAAT &amp; SIMULATIE'!$M60*'RESULTAAT &amp; SIMULATIE'!$O60/1000*'RESULTAAT &amp; SIMULATIE'!R60,'RESULTAAT &amp; SIMULATIE'!O60*0))</f>
        <v>0</v>
      </c>
      <c r="V40" s="86">
        <f>IF('RESULTAAT &amp; SIMULATIE'!O60&gt;750,O40,0)</f>
        <v>0</v>
      </c>
      <c r="W40" s="86">
        <f>'RESULTAAT &amp; SIMULATIE'!P60*V40</f>
        <v>0</v>
      </c>
      <c r="X40" s="86">
        <f>'RESULTAAT &amp; SIMULATIE'!Q60*V40</f>
        <v>0</v>
      </c>
      <c r="Y40" s="86">
        <f>'RESULTAAT &amp; SIMULATIE'!R60*V40</f>
        <v>0</v>
      </c>
      <c r="Z40" s="86"/>
    </row>
    <row r="41" spans="1:31" x14ac:dyDescent="0.2">
      <c r="O41" s="86">
        <f>IF('RESULTAAT &amp; SIMULATIE'!M61&gt;0,IF('RESULTAAT &amp; SIMULATIE'!N61=LIJSTJES!G$3,'RESULTAAT &amp; SIMULATIE'!M61,IF('RESULTAAT &amp; SIMULATIE'!N61=LIJSTJES!G$2,'RESULTAAT &amp; SIMULATIE'!M61*'RESULTAAT &amp; SIMULATIE'!O61/1000,'RESULTAAT &amp; SIMULATIE'!M61*0)),0)</f>
        <v>0</v>
      </c>
      <c r="P41" s="86">
        <f>IF('RESULTAAT &amp; SIMULATIE'!O61&gt;0,IF('RESULTAAT &amp; SIMULATIE'!N61=LIJSTJES!G$3,'RESULTAAT &amp; SIMULATIE'!M61/'RESULTAAT &amp; SIMULATIE'!O61*1000,'RESULTAAT &amp; SIMULATIE'!M61),0)</f>
        <v>0</v>
      </c>
      <c r="Q41" s="86">
        <f>IF('RESULTAAT &amp; SIMULATIE'!O61&gt;750,P41,0)</f>
        <v>0</v>
      </c>
      <c r="R41" s="86">
        <f>IF('RESULTAAT &amp; SIMULATIE'!O61&lt;750,O41,0)</f>
        <v>0</v>
      </c>
      <c r="S41" s="86">
        <f>IF('RESULTAAT &amp; SIMULATIE'!N61=LIJSTJES!G$3,'RESULTAAT &amp; SIMULATIE'!M61*'RESULTAAT &amp; SIMULATIE'!P61,IF('RESULTAAT &amp; SIMULATIE'!N61=LIJSTJES!G$2,'RESULTAAT &amp; SIMULATIE'!M61*'RESULTAAT &amp; SIMULATIE'!O61/1000*'RESULTAAT &amp; SIMULATIE'!P61,'RESULTAAT &amp; SIMULATIE'!M61*0))</f>
        <v>0</v>
      </c>
      <c r="T41" s="86">
        <f>IF('RESULTAAT &amp; SIMULATIE'!$N61=LIJSTJES!$G$3,'RESULTAAT &amp; SIMULATIE'!$M61*'RESULTAAT &amp; SIMULATIE'!Q61,IF('RESULTAAT &amp; SIMULATIE'!$N61=LIJSTJES!$G$2,'RESULTAAT &amp; SIMULATIE'!$M61*'RESULTAAT &amp; SIMULATIE'!$O61/1000*'RESULTAAT &amp; SIMULATIE'!Q61,'RESULTAAT &amp; SIMULATIE'!N61*0))</f>
        <v>0</v>
      </c>
      <c r="U41" s="86">
        <f>IF('RESULTAAT &amp; SIMULATIE'!$N61=LIJSTJES!$G$3,'RESULTAAT &amp; SIMULATIE'!$M61*'RESULTAAT &amp; SIMULATIE'!R61,IF('RESULTAAT &amp; SIMULATIE'!$N61=LIJSTJES!$G$2,'RESULTAAT &amp; SIMULATIE'!$M61*'RESULTAAT &amp; SIMULATIE'!$O61/1000*'RESULTAAT &amp; SIMULATIE'!R61,'RESULTAAT &amp; SIMULATIE'!O61*0))</f>
        <v>0</v>
      </c>
      <c r="V41" s="86">
        <f>IF('RESULTAAT &amp; SIMULATIE'!O61&gt;750,O41,0)</f>
        <v>0</v>
      </c>
      <c r="W41" s="86">
        <f>'RESULTAAT &amp; SIMULATIE'!P61*V41</f>
        <v>0</v>
      </c>
      <c r="X41" s="86">
        <f>'RESULTAAT &amp; SIMULATIE'!Q61*V41</f>
        <v>0</v>
      </c>
      <c r="Y41" s="86">
        <f>'RESULTAAT &amp; SIMULATIE'!R61*V41</f>
        <v>0</v>
      </c>
      <c r="Z41" s="86"/>
    </row>
    <row r="42" spans="1:31" x14ac:dyDescent="0.2">
      <c r="O42" s="86">
        <f>IF('RESULTAAT &amp; SIMULATIE'!M62&gt;0,IF('RESULTAAT &amp; SIMULATIE'!N62=LIJSTJES!G$3,'RESULTAAT &amp; SIMULATIE'!M62,IF('RESULTAAT &amp; SIMULATIE'!N62=LIJSTJES!G$2,'RESULTAAT &amp; SIMULATIE'!M62*'RESULTAAT &amp; SIMULATIE'!O62/1000,'RESULTAAT &amp; SIMULATIE'!M62*0)),0)</f>
        <v>0</v>
      </c>
      <c r="P42" s="86">
        <f>IF('RESULTAAT &amp; SIMULATIE'!O62&gt;0,IF('RESULTAAT &amp; SIMULATIE'!N62=LIJSTJES!G$3,'RESULTAAT &amp; SIMULATIE'!M62/'RESULTAAT &amp; SIMULATIE'!O62*1000,'RESULTAAT &amp; SIMULATIE'!M62),0)</f>
        <v>0</v>
      </c>
      <c r="Q42" s="86">
        <f>IF('RESULTAAT &amp; SIMULATIE'!O62&gt;750,P42,0)</f>
        <v>0</v>
      </c>
      <c r="R42" s="86">
        <f>IF('RESULTAAT &amp; SIMULATIE'!O62&lt;750,O42,0)</f>
        <v>0</v>
      </c>
      <c r="S42" s="86">
        <f>IF('RESULTAAT &amp; SIMULATIE'!N62=LIJSTJES!G$3,'RESULTAAT &amp; SIMULATIE'!M62*'RESULTAAT &amp; SIMULATIE'!P62,IF('RESULTAAT &amp; SIMULATIE'!N62=LIJSTJES!G$2,'RESULTAAT &amp; SIMULATIE'!M62*'RESULTAAT &amp; SIMULATIE'!O62/1000*'RESULTAAT &amp; SIMULATIE'!P62,'RESULTAAT &amp; SIMULATIE'!M62*0))</f>
        <v>0</v>
      </c>
      <c r="T42" s="86">
        <f>IF('RESULTAAT &amp; SIMULATIE'!$N62=LIJSTJES!$G$3,'RESULTAAT &amp; SIMULATIE'!$M62*'RESULTAAT &amp; SIMULATIE'!Q62,IF('RESULTAAT &amp; SIMULATIE'!$N62=LIJSTJES!$G$2,'RESULTAAT &amp; SIMULATIE'!$M62*'RESULTAAT &amp; SIMULATIE'!$O62/1000*'RESULTAAT &amp; SIMULATIE'!Q62,'RESULTAAT &amp; SIMULATIE'!N62*0))</f>
        <v>0</v>
      </c>
      <c r="U42" s="86">
        <f>IF('RESULTAAT &amp; SIMULATIE'!$N62=LIJSTJES!$G$3,'RESULTAAT &amp; SIMULATIE'!$M62*'RESULTAAT &amp; SIMULATIE'!R62,IF('RESULTAAT &amp; SIMULATIE'!$N62=LIJSTJES!$G$2,'RESULTAAT &amp; SIMULATIE'!$M62*'RESULTAAT &amp; SIMULATIE'!$O62/1000*'RESULTAAT &amp; SIMULATIE'!R62,'RESULTAAT &amp; SIMULATIE'!O62*0))</f>
        <v>0</v>
      </c>
      <c r="V42" s="86">
        <f>IF('RESULTAAT &amp; SIMULATIE'!O62&gt;750,O42,0)</f>
        <v>0</v>
      </c>
      <c r="W42" s="86">
        <f>'RESULTAAT &amp; SIMULATIE'!P62*V42</f>
        <v>0</v>
      </c>
      <c r="X42" s="86">
        <f>'RESULTAAT &amp; SIMULATIE'!Q62*V42</f>
        <v>0</v>
      </c>
      <c r="Y42" s="86">
        <f>'RESULTAAT &amp; SIMULATIE'!R62*V42</f>
        <v>0</v>
      </c>
      <c r="Z42" s="86"/>
    </row>
    <row r="43" spans="1:31" x14ac:dyDescent="0.2">
      <c r="O43" s="86">
        <f>IF('RESULTAAT &amp; SIMULATIE'!M63&gt;0,IF('RESULTAAT &amp; SIMULATIE'!N63=LIJSTJES!G$3,'RESULTAAT &amp; SIMULATIE'!M63,IF('RESULTAAT &amp; SIMULATIE'!N63=LIJSTJES!G$2,'RESULTAAT &amp; SIMULATIE'!M63*'RESULTAAT &amp; SIMULATIE'!O63/1000,'RESULTAAT &amp; SIMULATIE'!M63*0)),0)</f>
        <v>0</v>
      </c>
      <c r="P43" s="86">
        <f>IF('RESULTAAT &amp; SIMULATIE'!O63&gt;0,IF('RESULTAAT &amp; SIMULATIE'!N63=LIJSTJES!G$3,'RESULTAAT &amp; SIMULATIE'!M63/'RESULTAAT &amp; SIMULATIE'!O63*1000,'RESULTAAT &amp; SIMULATIE'!M63),0)</f>
        <v>0</v>
      </c>
      <c r="Q43" s="86">
        <f>IF('RESULTAAT &amp; SIMULATIE'!O63&gt;750,P43,0)</f>
        <v>0</v>
      </c>
      <c r="R43" s="86">
        <f>IF('RESULTAAT &amp; SIMULATIE'!O63&lt;750,O43,0)</f>
        <v>0</v>
      </c>
      <c r="S43" s="86">
        <f>IF('RESULTAAT &amp; SIMULATIE'!N63=LIJSTJES!G$3,'RESULTAAT &amp; SIMULATIE'!M63*'RESULTAAT &amp; SIMULATIE'!P63,IF('RESULTAAT &amp; SIMULATIE'!N63=LIJSTJES!G$2,'RESULTAAT &amp; SIMULATIE'!M63*'RESULTAAT &amp; SIMULATIE'!O63/1000*'RESULTAAT &amp; SIMULATIE'!P63,'RESULTAAT &amp; SIMULATIE'!M63*0))</f>
        <v>0</v>
      </c>
      <c r="T43" s="86">
        <f>IF('RESULTAAT &amp; SIMULATIE'!$N63=LIJSTJES!$G$3,'RESULTAAT &amp; SIMULATIE'!$M63*'RESULTAAT &amp; SIMULATIE'!Q63,IF('RESULTAAT &amp; SIMULATIE'!$N63=LIJSTJES!$G$2,'RESULTAAT &amp; SIMULATIE'!$M63*'RESULTAAT &amp; SIMULATIE'!$O63/1000*'RESULTAAT &amp; SIMULATIE'!Q63,'RESULTAAT &amp; SIMULATIE'!N63*0))</f>
        <v>0</v>
      </c>
      <c r="U43" s="86">
        <f>IF('RESULTAAT &amp; SIMULATIE'!$N63=LIJSTJES!$G$3,'RESULTAAT &amp; SIMULATIE'!$M63*'RESULTAAT &amp; SIMULATIE'!R63,IF('RESULTAAT &amp; SIMULATIE'!$N63=LIJSTJES!$G$2,'RESULTAAT &amp; SIMULATIE'!$M63*'RESULTAAT &amp; SIMULATIE'!$O63/1000*'RESULTAAT &amp; SIMULATIE'!R63,'RESULTAAT &amp; SIMULATIE'!O63*0))</f>
        <v>0</v>
      </c>
      <c r="V43" s="86">
        <f>IF('RESULTAAT &amp; SIMULATIE'!O63&gt;750,O43,0)</f>
        <v>0</v>
      </c>
      <c r="W43" s="86">
        <f>'RESULTAAT &amp; SIMULATIE'!P63*V43</f>
        <v>0</v>
      </c>
      <c r="X43" s="86">
        <f>'RESULTAAT &amp; SIMULATIE'!Q63*V43</f>
        <v>0</v>
      </c>
      <c r="Y43" s="86">
        <f>'RESULTAAT &amp; SIMULATIE'!R63*V43</f>
        <v>0</v>
      </c>
      <c r="Z43" s="86"/>
    </row>
    <row r="44" spans="1:31" ht="13.9" x14ac:dyDescent="0.3">
      <c r="O44" s="86">
        <f>IF('RESULTAAT &amp; SIMULATIE'!M64&gt;0,IF('RESULTAAT &amp; SIMULATIE'!N64=LIJSTJES!G$3,'RESULTAAT &amp; SIMULATIE'!M64,IF('RESULTAAT &amp; SIMULATIE'!N64=LIJSTJES!G$2,'RESULTAAT &amp; SIMULATIE'!M64*'RESULTAAT &amp; SIMULATIE'!O64/1000,'RESULTAAT &amp; SIMULATIE'!M64*0)),0)</f>
        <v>0</v>
      </c>
      <c r="P44" s="86">
        <f>IF('RESULTAAT &amp; SIMULATIE'!O64&gt;0,IF('RESULTAAT &amp; SIMULATIE'!N64=LIJSTJES!G$3,'RESULTAAT &amp; SIMULATIE'!M64/'RESULTAAT &amp; SIMULATIE'!O64*1000,'RESULTAAT &amp; SIMULATIE'!M64),0)</f>
        <v>0</v>
      </c>
      <c r="Q44" s="86">
        <f>IF('RESULTAAT &amp; SIMULATIE'!O64&gt;750,P44,0)</f>
        <v>0</v>
      </c>
      <c r="R44" s="86">
        <f>IF('RESULTAAT &amp; SIMULATIE'!O64&lt;750,O44,0)</f>
        <v>0</v>
      </c>
      <c r="S44" s="86">
        <f>IF('RESULTAAT &amp; SIMULATIE'!N64=LIJSTJES!G$3,'RESULTAAT &amp; SIMULATIE'!M64*'RESULTAAT &amp; SIMULATIE'!P64,IF('RESULTAAT &amp; SIMULATIE'!N64=LIJSTJES!G$2,'RESULTAAT &amp; SIMULATIE'!M64*'RESULTAAT &amp; SIMULATIE'!O64/1000*'RESULTAAT &amp; SIMULATIE'!P64,'RESULTAAT &amp; SIMULATIE'!M64*0))</f>
        <v>0</v>
      </c>
      <c r="T44" s="86">
        <f>IF('RESULTAAT &amp; SIMULATIE'!$N64=LIJSTJES!$G$3,'RESULTAAT &amp; SIMULATIE'!$M64*'RESULTAAT &amp; SIMULATIE'!Q64,IF('RESULTAAT &amp; SIMULATIE'!$N64=LIJSTJES!$G$2,'RESULTAAT &amp; SIMULATIE'!$M64*'RESULTAAT &amp; SIMULATIE'!$O64/1000*'RESULTAAT &amp; SIMULATIE'!Q64,'RESULTAAT &amp; SIMULATIE'!N64*0))</f>
        <v>0</v>
      </c>
      <c r="U44" s="86">
        <f>IF('RESULTAAT &amp; SIMULATIE'!$N64=LIJSTJES!$G$3,'RESULTAAT &amp; SIMULATIE'!$M64*'RESULTAAT &amp; SIMULATIE'!R64,IF('RESULTAAT &amp; SIMULATIE'!$N64=LIJSTJES!$G$2,'RESULTAAT &amp; SIMULATIE'!$M64*'RESULTAAT &amp; SIMULATIE'!$O64/1000*'RESULTAAT &amp; SIMULATIE'!R64,'RESULTAAT &amp; SIMULATIE'!O64*0))</f>
        <v>0</v>
      </c>
      <c r="V44" s="86">
        <f>IF('RESULTAAT &amp; SIMULATIE'!O64&gt;750,O44,0)</f>
        <v>0</v>
      </c>
      <c r="W44" s="86">
        <f>'RESULTAAT &amp; SIMULATIE'!P64*V44</f>
        <v>0</v>
      </c>
      <c r="X44" s="86">
        <f>'RESULTAAT &amp; SIMULATIE'!Q64*V44</f>
        <v>0</v>
      </c>
      <c r="Y44" s="86">
        <f>'RESULTAAT &amp; SIMULATIE'!R64*V44</f>
        <v>0</v>
      </c>
      <c r="Z44" s="86"/>
    </row>
    <row r="45" spans="1:31" ht="13.9" x14ac:dyDescent="0.3">
      <c r="O45" s="161">
        <f t="shared" ref="O45:Y45" si="3">SUM(O24:O44)</f>
        <v>219650</v>
      </c>
      <c r="P45" s="161">
        <f t="shared" si="3"/>
        <v>243650</v>
      </c>
      <c r="Q45" s="161">
        <f t="shared" si="3"/>
        <v>243650</v>
      </c>
      <c r="R45" s="161">
        <f t="shared" si="3"/>
        <v>0</v>
      </c>
      <c r="S45" s="161">
        <f t="shared" si="3"/>
        <v>232458000</v>
      </c>
      <c r="T45" s="161">
        <f t="shared" si="3"/>
        <v>1555330</v>
      </c>
      <c r="U45" s="161">
        <f t="shared" si="3"/>
        <v>57960562.5</v>
      </c>
      <c r="V45" s="161">
        <f t="shared" si="3"/>
        <v>219650</v>
      </c>
      <c r="W45" s="161">
        <f t="shared" si="3"/>
        <v>232458000</v>
      </c>
      <c r="X45" s="161">
        <f t="shared" si="3"/>
        <v>1555330</v>
      </c>
      <c r="Y45" s="161">
        <f t="shared" si="3"/>
        <v>57960562.5</v>
      </c>
      <c r="Z45" s="161">
        <f>IF(O45&gt;0,S45/O45,0)</f>
        <v>1058.3109492374231</v>
      </c>
      <c r="AA45" s="162">
        <f>T45/S45*1000</f>
        <v>6.6908000585051921</v>
      </c>
      <c r="AB45" s="161">
        <f>U45/S45*1000</f>
        <v>249.33778359961801</v>
      </c>
    </row>
    <row r="46" spans="1:31" ht="13.9" x14ac:dyDescent="0.3">
      <c r="H46" s="198" t="s">
        <v>187</v>
      </c>
      <c r="O46" s="88" t="s">
        <v>148</v>
      </c>
      <c r="P46" s="88" t="s">
        <v>154</v>
      </c>
      <c r="S46" s="88" t="s">
        <v>2</v>
      </c>
      <c r="T46" s="88" t="s">
        <v>3</v>
      </c>
      <c r="U46" s="88" t="s">
        <v>73</v>
      </c>
      <c r="V46" s="88" t="s">
        <v>169</v>
      </c>
      <c r="W46" s="83" t="s">
        <v>172</v>
      </c>
      <c r="X46" s="83" t="s">
        <v>173</v>
      </c>
      <c r="Y46" s="83" t="s">
        <v>174</v>
      </c>
    </row>
    <row r="47" spans="1:31" ht="13.9" x14ac:dyDescent="0.3">
      <c r="A47" s="158" t="s">
        <v>163</v>
      </c>
      <c r="E47" s="91" t="s">
        <v>167</v>
      </c>
      <c r="F47" s="100" t="s">
        <v>147</v>
      </c>
      <c r="G47" s="100" t="s">
        <v>150</v>
      </c>
      <c r="H47" s="100" t="s">
        <v>2</v>
      </c>
      <c r="I47" s="100" t="s">
        <v>3</v>
      </c>
      <c r="J47" s="100" t="s">
        <v>90</v>
      </c>
      <c r="O47" s="86">
        <f>IF(ALT_INVOER!E48&gt;0,IF(ALT_INVOER!F48=LIJSTJES!G$3,ALT_INVOER!E48,IF(ALT_INVOER!F48=LIJSTJES!G$2,ALT_INVOER!E48*ALT_INVOER!G48/1000,ALT_INVOER!E48*0)),0)</f>
        <v>206170</v>
      </c>
      <c r="P47" s="86">
        <f>IF(ALT_INVOER!G48&gt;0,IF(ALT_INVOER!F48=LIJSTJES!G$3,ALT_INVOER!E48/ALT_INVOER!G48*1000,ALT_INVOER!E48),0)</f>
        <v>502853.6585365854</v>
      </c>
      <c r="Q47" s="86"/>
      <c r="R47" s="86"/>
      <c r="S47" s="86">
        <f>IF(ALT_INVOER!F48=LIJSTJES!G$3,ALT_INVOER!E48*ALT_INVOER!H48,IF(ALT_INVOER!F48=LIJSTJES!G$2,ALT_INVOER!E48*ALT_INVOER!G48/1000*ALT_INVOER!H48,ALT_INVOER!E48*0))</f>
        <v>180398750</v>
      </c>
      <c r="T47" s="86">
        <f>IF(ALT_INVOER!$F48=LIJSTJES!$G$3,ALT_INVOER!$E48*ALT_INVOER!I48,IF(ALT_INVOER!$F48=LIJSTJES!$G$2,ALT_INVOER!$E48*ALT_INVOER!$G48/1000*ALT_INVOER!I48,ALT_INVOER!F48*0))</f>
        <v>865914</v>
      </c>
      <c r="U47" s="86">
        <f>IF(ALT_INVOER!$F48=LIJSTJES!$G$3,ALT_INVOER!$E48*ALT_INVOER!J48,IF(ALT_INVOER!$F48=LIJSTJES!$G$2,ALT_INVOER!$E48*ALT_INVOER!$G48/1000*ALT_INVOER!J48,ALT_INVOER!G48*0))</f>
        <v>36079750</v>
      </c>
      <c r="V47" s="86">
        <f>IF(ALT_INVOER!K48=LIJSTJES!$G$7,O47,0)</f>
        <v>206170</v>
      </c>
      <c r="W47" s="86">
        <f>ALT_INVOER!H48*V47</f>
        <v>180398750</v>
      </c>
      <c r="X47" s="86">
        <f>ALT_INVOER!I48*V47</f>
        <v>865914</v>
      </c>
      <c r="Y47" s="86">
        <f>ALT_INVOER!J48*V47</f>
        <v>36079750</v>
      </c>
      <c r="Z47" s="86"/>
    </row>
    <row r="48" spans="1:31" ht="13.9" x14ac:dyDescent="0.3">
      <c r="B48" s="569" t="str">
        <f>'RESULTAAT &amp; SIMULATIE'!J33</f>
        <v>Graskuil hooi</v>
      </c>
      <c r="C48" s="595"/>
      <c r="D48" s="596"/>
      <c r="E48" s="337">
        <f>'RESULTAAT &amp; SIMULATIE'!M33/100*(INVOERPAGINA!$C$17*365*INVOERPAGINA!$E$37)*(1-('RESULTAAT &amp; SIMULATIE'!N20*30.5)/365)+IF('RESULTAAT &amp; SIMULATIE'!J20=LIJSTJES!$B$5,0,('RESULTAAT &amp; SIMULATIE'!N20*30.5*INVOERPAGINA!$C$17*'RESULTAAT &amp; SIMULATIE'!M23))</f>
        <v>206170</v>
      </c>
      <c r="F48" s="351" t="s">
        <v>148</v>
      </c>
      <c r="G48" s="347">
        <f>'RESULTAAT &amp; SIMULATIE'!O33</f>
        <v>410</v>
      </c>
      <c r="H48" s="347">
        <f>'RESULTAAT &amp; SIMULATIE'!P33</f>
        <v>875</v>
      </c>
      <c r="I48" s="347">
        <f>'RESULTAAT &amp; SIMULATIE'!Q33</f>
        <v>4.2</v>
      </c>
      <c r="J48" s="347">
        <f>'RESULTAAT &amp; SIMULATIE'!R33</f>
        <v>175</v>
      </c>
      <c r="K48" s="356" t="s">
        <v>164</v>
      </c>
      <c r="O48" s="86">
        <f>IF(ALT_INVOER!E49&gt;0,IF(ALT_INVOER!F49=LIJSTJES!G$3,ALT_INVOER!E49,IF(ALT_INVOER!F49=LIJSTJES!G$2,ALT_INVOER!E49*ALT_INVOER!G49/1000,ALT_INVOER!E49*0)),0)</f>
        <v>0</v>
      </c>
      <c r="P48" s="86">
        <f>IF(ALT_INVOER!G49&gt;0,IF(ALT_INVOER!F49=LIJSTJES!G$3,ALT_INVOER!E49/ALT_INVOER!G49*1000,ALT_INVOER!E49),0)</f>
        <v>0</v>
      </c>
      <c r="Q48" s="86"/>
      <c r="R48" s="86"/>
      <c r="S48" s="86">
        <f>IF(ALT_INVOER!F49=LIJSTJES!G$3,ALT_INVOER!E49*ALT_INVOER!H49,IF(ALT_INVOER!F49=LIJSTJES!G$2,ALT_INVOER!E49*ALT_INVOER!G49/1000*ALT_INVOER!H49,ALT_INVOER!E49*0))</f>
        <v>0</v>
      </c>
      <c r="T48" s="86">
        <f>IF(ALT_INVOER!$F49=LIJSTJES!$G$3,ALT_INVOER!$E49*ALT_INVOER!I49,IF(ALT_INVOER!$F49=LIJSTJES!$G$2,ALT_INVOER!$E49*ALT_INVOER!$G49/1000*ALT_INVOER!I49,ALT_INVOER!F49*0))</f>
        <v>0</v>
      </c>
      <c r="U48" s="86">
        <f>IF(ALT_INVOER!$F49=LIJSTJES!$G$3,ALT_INVOER!$E49*ALT_INVOER!J49,IF(ALT_INVOER!$F49=LIJSTJES!$G$2,ALT_INVOER!$E49*ALT_INVOER!$G49/1000*ALT_INVOER!J49,ALT_INVOER!G49*0))</f>
        <v>0</v>
      </c>
      <c r="V48" s="86">
        <f>IF(ALT_INVOER!K49=LIJSTJES!$G$7,O48,0)</f>
        <v>0</v>
      </c>
      <c r="W48" s="86">
        <f>ALT_INVOER!H49*V48</f>
        <v>0</v>
      </c>
      <c r="X48" s="86">
        <f>ALT_INVOER!I49*V48</f>
        <v>0</v>
      </c>
      <c r="Y48" s="86">
        <f>ALT_INVOER!J49*V48</f>
        <v>0</v>
      </c>
      <c r="Z48" s="86"/>
    </row>
    <row r="49" spans="1:29" ht="13.9" x14ac:dyDescent="0.3">
      <c r="B49" s="569"/>
      <c r="C49" s="595"/>
      <c r="D49" s="596"/>
      <c r="E49" s="337"/>
      <c r="F49" s="351" t="s">
        <v>148</v>
      </c>
      <c r="G49" s="347"/>
      <c r="H49" s="348"/>
      <c r="I49" s="349"/>
      <c r="J49" s="370"/>
      <c r="K49" s="356" t="s">
        <v>164</v>
      </c>
      <c r="O49" s="86">
        <f>IF(ALT_INVOER!E50&gt;0,IF(ALT_INVOER!F50=LIJSTJES!G$3,ALT_INVOER!E50,IF(ALT_INVOER!F50=LIJSTJES!G$2,ALT_INVOER!E50*ALT_INVOER!G50/1000,ALT_INVOER!E50*0)),0)</f>
        <v>0</v>
      </c>
      <c r="P49" s="86">
        <f>IF(ALT_INVOER!G50&gt;0,IF(ALT_INVOER!F50=LIJSTJES!G$3,ALT_INVOER!E50/ALT_INVOER!G50*1000,ALT_INVOER!E50),0)</f>
        <v>0</v>
      </c>
      <c r="Q49" s="86"/>
      <c r="R49" s="86"/>
      <c r="S49" s="86">
        <f>IF(ALT_INVOER!F50=LIJSTJES!G$3,ALT_INVOER!E50*ALT_INVOER!H50,IF(ALT_INVOER!F50=LIJSTJES!G$2,ALT_INVOER!E50*ALT_INVOER!G50/1000*ALT_INVOER!H50,ALT_INVOER!E50*0))</f>
        <v>0</v>
      </c>
      <c r="T49" s="86">
        <f>IF(ALT_INVOER!$F50=LIJSTJES!$G$3,ALT_INVOER!$E50*ALT_INVOER!I50,IF(ALT_INVOER!$F50=LIJSTJES!$G$2,ALT_INVOER!$E50*ALT_INVOER!$G50/1000*ALT_INVOER!I50,ALT_INVOER!F50*0))</f>
        <v>0</v>
      </c>
      <c r="U49" s="86">
        <f>IF(ALT_INVOER!$F50=LIJSTJES!$G$3,ALT_INVOER!$E50*ALT_INVOER!J50,IF(ALT_INVOER!$F50=LIJSTJES!$G$2,ALT_INVOER!$E50*ALT_INVOER!$G50/1000*ALT_INVOER!J50,ALT_INVOER!G50*0))</f>
        <v>0</v>
      </c>
      <c r="V49" s="86">
        <f>IF(ALT_INVOER!K50=LIJSTJES!$G$7,O49,0)</f>
        <v>0</v>
      </c>
      <c r="W49" s="86">
        <f>ALT_INVOER!H50*V49</f>
        <v>0</v>
      </c>
      <c r="X49" s="86">
        <f>ALT_INVOER!I50*V49</f>
        <v>0</v>
      </c>
      <c r="Y49" s="86">
        <f>ALT_INVOER!J50*V49</f>
        <v>0</v>
      </c>
      <c r="Z49" s="86"/>
    </row>
    <row r="50" spans="1:29" ht="13.9" x14ac:dyDescent="0.3">
      <c r="B50" s="569"/>
      <c r="C50" s="595"/>
      <c r="D50" s="596"/>
      <c r="E50" s="337"/>
      <c r="F50" s="351" t="s">
        <v>148</v>
      </c>
      <c r="G50" s="347"/>
      <c r="H50" s="348"/>
      <c r="I50" s="349"/>
      <c r="J50" s="370"/>
      <c r="K50" s="356" t="s">
        <v>164</v>
      </c>
      <c r="O50" s="86">
        <f>IF(ALT_INVOER!E51&gt;0,IF(ALT_INVOER!F51=LIJSTJES!G$3,ALT_INVOER!E51,IF(ALT_INVOER!F51=LIJSTJES!G$2,ALT_INVOER!E51*ALT_INVOER!G51/1000,ALT_INVOER!E51*0)),0)</f>
        <v>0</v>
      </c>
      <c r="P50" s="86">
        <f>IF(ALT_INVOER!G51&gt;0,IF(ALT_INVOER!F51=LIJSTJES!G$3,ALT_INVOER!E51/ALT_INVOER!G51*1000,ALT_INVOER!E51),0)</f>
        <v>0</v>
      </c>
      <c r="Q50" s="86"/>
      <c r="R50" s="86"/>
      <c r="S50" s="86">
        <f>IF(ALT_INVOER!F51=LIJSTJES!G$3,ALT_INVOER!E51*ALT_INVOER!H51,IF(ALT_INVOER!F51=LIJSTJES!G$2,ALT_INVOER!E51*ALT_INVOER!G51/1000*ALT_INVOER!H51,ALT_INVOER!E51*0))</f>
        <v>0</v>
      </c>
      <c r="T50" s="86">
        <f>IF(ALT_INVOER!$F51=LIJSTJES!$G$3,ALT_INVOER!$E51*ALT_INVOER!I51,IF(ALT_INVOER!$F51=LIJSTJES!$G$2,ALT_INVOER!$E51*ALT_INVOER!$G51/1000*ALT_INVOER!I51,ALT_INVOER!F51*0))</f>
        <v>0</v>
      </c>
      <c r="U50" s="86">
        <f>IF(ALT_INVOER!$F51=LIJSTJES!$G$3,ALT_INVOER!$E51*ALT_INVOER!J51,IF(ALT_INVOER!$F51=LIJSTJES!$G$2,ALT_INVOER!$E51*ALT_INVOER!$G51/1000*ALT_INVOER!J51,ALT_INVOER!G51*0))</f>
        <v>0</v>
      </c>
      <c r="V50" s="86">
        <f>IF(ALT_INVOER!K51=LIJSTJES!$G$7,O50,0)</f>
        <v>0</v>
      </c>
      <c r="W50" s="86">
        <f>ALT_INVOER!H51*V50</f>
        <v>0</v>
      </c>
      <c r="X50" s="86">
        <f>ALT_INVOER!I51*V50</f>
        <v>0</v>
      </c>
      <c r="Y50" s="86">
        <f>ALT_INVOER!J51*V50</f>
        <v>0</v>
      </c>
    </row>
    <row r="51" spans="1:29" ht="13.9" x14ac:dyDescent="0.3">
      <c r="A51" s="85"/>
      <c r="B51" s="338"/>
      <c r="C51" s="373"/>
      <c r="D51" s="374"/>
      <c r="E51" s="337"/>
      <c r="F51" s="351" t="s">
        <v>148</v>
      </c>
      <c r="G51" s="347"/>
      <c r="H51" s="348"/>
      <c r="I51" s="349"/>
      <c r="J51" s="370"/>
      <c r="K51" s="356" t="s">
        <v>164</v>
      </c>
      <c r="O51" s="86">
        <f>IF(ALT_INVOER!E52&gt;0,IF(ALT_INVOER!F52=LIJSTJES!G$3,ALT_INVOER!E52,IF(ALT_INVOER!F52=LIJSTJES!G$2,ALT_INVOER!E52*ALT_INVOER!G52/1000,ALT_INVOER!E52*0)),0)</f>
        <v>0</v>
      </c>
      <c r="P51" s="86">
        <f>IF(ALT_INVOER!G52&gt;0,IF(ALT_INVOER!F52=LIJSTJES!G$3,ALT_INVOER!E52/ALT_INVOER!G52*1000,ALT_INVOER!E52),0)</f>
        <v>0</v>
      </c>
      <c r="Q51" s="86"/>
      <c r="R51" s="86"/>
      <c r="S51" s="86">
        <f>IF(ALT_INVOER!F52=LIJSTJES!G$3,ALT_INVOER!E52*ALT_INVOER!H52,IF(ALT_INVOER!F52=LIJSTJES!G$2,ALT_INVOER!E52*ALT_INVOER!G52/1000*ALT_INVOER!H52,ALT_INVOER!E52*0))</f>
        <v>0</v>
      </c>
      <c r="T51" s="86">
        <f>IF(ALT_INVOER!$F52=LIJSTJES!$G$3,ALT_INVOER!$E52*ALT_INVOER!I52,IF(ALT_INVOER!$F52=LIJSTJES!$G$2,ALT_INVOER!$E52*ALT_INVOER!$G52/1000*ALT_INVOER!I52,ALT_INVOER!F52*0))</f>
        <v>0</v>
      </c>
      <c r="U51" s="86">
        <f>IF(ALT_INVOER!$F52=LIJSTJES!$G$3,ALT_INVOER!$E52*ALT_INVOER!J52,IF(ALT_INVOER!$F52=LIJSTJES!$G$2,ALT_INVOER!$E52*ALT_INVOER!$G52/1000*ALT_INVOER!J52,ALT_INVOER!G52*0))</f>
        <v>0</v>
      </c>
      <c r="V51" s="86">
        <f>IF(ALT_INVOER!K52=LIJSTJES!$G$7,O51,0)</f>
        <v>0</v>
      </c>
      <c r="W51" s="86">
        <f>ALT_INVOER!H52*V51</f>
        <v>0</v>
      </c>
      <c r="X51" s="86">
        <f>ALT_INVOER!I52*V51</f>
        <v>0</v>
      </c>
      <c r="Y51" s="86">
        <f>ALT_INVOER!J52*V51</f>
        <v>0</v>
      </c>
    </row>
    <row r="52" spans="1:29" ht="13.9" x14ac:dyDescent="0.3">
      <c r="A52" s="85"/>
      <c r="B52" s="338"/>
      <c r="C52" s="373"/>
      <c r="D52" s="374"/>
      <c r="E52" s="337"/>
      <c r="F52" s="351" t="s">
        <v>148</v>
      </c>
      <c r="G52" s="347"/>
      <c r="H52" s="347"/>
      <c r="I52" s="347"/>
      <c r="J52" s="371"/>
      <c r="K52" s="356" t="s">
        <v>164</v>
      </c>
      <c r="O52" s="86">
        <f>IF(ALT_INVOER!E53&gt;0,IF(ALT_INVOER!F53=LIJSTJES!G$3,ALT_INVOER!E53,IF(ALT_INVOER!F53=LIJSTJES!G$2,ALT_INVOER!E53*ALT_INVOER!G53/1000,ALT_INVOER!E53*0)),0)</f>
        <v>0</v>
      </c>
      <c r="P52" s="86">
        <f>IF(ALT_INVOER!G53&gt;0,IF(ALT_INVOER!F53=LIJSTJES!G$3,ALT_INVOER!E53/ALT_INVOER!G53*1000,ALT_INVOER!E53),0)</f>
        <v>0</v>
      </c>
      <c r="Q52" s="86"/>
      <c r="R52" s="86"/>
      <c r="S52" s="86">
        <f>IF(ALT_INVOER!F53=LIJSTJES!G$3,ALT_INVOER!E53*ALT_INVOER!H53,IF(ALT_INVOER!F53=LIJSTJES!G$2,ALT_INVOER!E53*ALT_INVOER!G53/1000*ALT_INVOER!H53,ALT_INVOER!E53*0))</f>
        <v>0</v>
      </c>
      <c r="T52" s="86">
        <f>IF(ALT_INVOER!$F53=LIJSTJES!$G$3,ALT_INVOER!$E53*ALT_INVOER!I53,IF(ALT_INVOER!$F53=LIJSTJES!$G$2,ALT_INVOER!$E53*ALT_INVOER!$G53/1000*ALT_INVOER!I53,ALT_INVOER!F53*0))</f>
        <v>0</v>
      </c>
      <c r="U52" s="86">
        <f>IF(ALT_INVOER!$F53=LIJSTJES!$G$3,ALT_INVOER!$E53*ALT_INVOER!J53,IF(ALT_INVOER!$F53=LIJSTJES!$G$2,ALT_INVOER!$E53*ALT_INVOER!$G53/1000*ALT_INVOER!J53,ALT_INVOER!G53*0))</f>
        <v>0</v>
      </c>
      <c r="V52" s="86">
        <f>IF(ALT_INVOER!K53=LIJSTJES!$G$7,O52,0)</f>
        <v>0</v>
      </c>
      <c r="W52" s="86">
        <f>ALT_INVOER!H53*V52</f>
        <v>0</v>
      </c>
      <c r="X52" s="86">
        <f>ALT_INVOER!I53*V52</f>
        <v>0</v>
      </c>
      <c r="Y52" s="86">
        <f>ALT_INVOER!J53*V52</f>
        <v>0</v>
      </c>
    </row>
    <row r="53" spans="1:29" ht="13.9" x14ac:dyDescent="0.3">
      <c r="A53" s="85"/>
      <c r="B53" s="338"/>
      <c r="C53" s="373"/>
      <c r="D53" s="374"/>
      <c r="E53" s="337"/>
      <c r="F53" s="351" t="s">
        <v>148</v>
      </c>
      <c r="G53" s="347"/>
      <c r="H53" s="347"/>
      <c r="I53" s="347"/>
      <c r="J53" s="371"/>
      <c r="K53" s="356" t="s">
        <v>164</v>
      </c>
      <c r="O53" s="86">
        <f>IF(ALT_INVOER!E54&gt;0,IF(ALT_INVOER!F54=LIJSTJES!G$3,ALT_INVOER!E54,IF(ALT_INVOER!F54=LIJSTJES!G$2,ALT_INVOER!E54*ALT_INVOER!G54/1000,ALT_INVOER!E54*0)),0)</f>
        <v>0</v>
      </c>
      <c r="P53" s="86">
        <f>IF(ALT_INVOER!G54&gt;0,IF(ALT_INVOER!F54=LIJSTJES!G$3,ALT_INVOER!E54/ALT_INVOER!G54*1000,ALT_INVOER!E54),0)</f>
        <v>0</v>
      </c>
      <c r="Q53" s="86"/>
      <c r="R53" s="86"/>
      <c r="S53" s="86">
        <f>IF(ALT_INVOER!F54=LIJSTJES!G$3,ALT_INVOER!E54*ALT_INVOER!H54,IF(ALT_INVOER!F54=LIJSTJES!G$2,ALT_INVOER!E54*ALT_INVOER!G54/1000*ALT_INVOER!H54,ALT_INVOER!E54*0))</f>
        <v>0</v>
      </c>
      <c r="T53" s="86">
        <f>IF(ALT_INVOER!$F54=LIJSTJES!$G$3,ALT_INVOER!$E54*ALT_INVOER!I54,IF(ALT_INVOER!$F54=LIJSTJES!$G$2,ALT_INVOER!$E54*ALT_INVOER!$G54/1000*ALT_INVOER!I54,ALT_INVOER!F54*0))</f>
        <v>0</v>
      </c>
      <c r="U53" s="86">
        <f>IF(ALT_INVOER!$F54=LIJSTJES!$G$3,ALT_INVOER!$E54*ALT_INVOER!J54,IF(ALT_INVOER!$F54=LIJSTJES!$G$2,ALT_INVOER!$E54*ALT_INVOER!$G54/1000*ALT_INVOER!J54,ALT_INVOER!G54*0))</f>
        <v>0</v>
      </c>
      <c r="V53" s="86">
        <f>IF(ALT_INVOER!K54=LIJSTJES!$G$7,O53,0)</f>
        <v>0</v>
      </c>
      <c r="W53" s="86">
        <f>ALT_INVOER!H54*V53</f>
        <v>0</v>
      </c>
      <c r="X53" s="86">
        <f>ALT_INVOER!I54*V53</f>
        <v>0</v>
      </c>
      <c r="Y53" s="86">
        <f>ALT_INVOER!J54*V53</f>
        <v>0</v>
      </c>
    </row>
    <row r="54" spans="1:29" ht="13.9" x14ac:dyDescent="0.3">
      <c r="A54" s="85"/>
      <c r="B54" s="338"/>
      <c r="C54" s="373"/>
      <c r="D54" s="374"/>
      <c r="E54" s="337"/>
      <c r="F54" s="351" t="s">
        <v>149</v>
      </c>
      <c r="G54" s="347"/>
      <c r="H54" s="347"/>
      <c r="I54" s="347"/>
      <c r="J54" s="371"/>
      <c r="K54" s="356" t="s">
        <v>164</v>
      </c>
      <c r="O54" s="161">
        <f t="shared" ref="O54:Y54" si="4">SUM(O47:O53)</f>
        <v>206170</v>
      </c>
      <c r="P54" s="161">
        <f t="shared" si="4"/>
        <v>502853.6585365854</v>
      </c>
      <c r="Q54" s="161">
        <f t="shared" si="4"/>
        <v>0</v>
      </c>
      <c r="R54" s="161">
        <f t="shared" si="4"/>
        <v>0</v>
      </c>
      <c r="S54" s="161">
        <f t="shared" si="4"/>
        <v>180398750</v>
      </c>
      <c r="T54" s="161">
        <f t="shared" si="4"/>
        <v>865914</v>
      </c>
      <c r="U54" s="161">
        <f t="shared" si="4"/>
        <v>36079750</v>
      </c>
      <c r="V54" s="161">
        <f t="shared" si="4"/>
        <v>206170</v>
      </c>
      <c r="W54" s="161">
        <f t="shared" si="4"/>
        <v>180398750</v>
      </c>
      <c r="X54" s="161">
        <f t="shared" si="4"/>
        <v>865914</v>
      </c>
      <c r="Y54" s="161">
        <f t="shared" si="4"/>
        <v>36079750</v>
      </c>
      <c r="Z54" s="161">
        <f>IF(O54&gt;0,S54/O54,0)</f>
        <v>875</v>
      </c>
      <c r="AA54" s="161">
        <f>SUM(AA47:AA53)</f>
        <v>0</v>
      </c>
      <c r="AB54" s="161">
        <f>SUM(AB47:AB53)</f>
        <v>0</v>
      </c>
      <c r="AC54" s="163"/>
    </row>
    <row r="55" spans="1:29" ht="13.9" x14ac:dyDescent="0.3">
      <c r="H55" s="198" t="s">
        <v>187</v>
      </c>
      <c r="O55" s="160"/>
      <c r="S55" s="88" t="s">
        <v>2</v>
      </c>
      <c r="T55" s="88" t="s">
        <v>3</v>
      </c>
      <c r="U55" s="88" t="s">
        <v>73</v>
      </c>
      <c r="V55" s="88" t="s">
        <v>169</v>
      </c>
      <c r="W55" s="83" t="s">
        <v>172</v>
      </c>
      <c r="X55" s="83" t="s">
        <v>173</v>
      </c>
      <c r="Y55" s="83" t="s">
        <v>174</v>
      </c>
    </row>
    <row r="56" spans="1:29" ht="13.9" x14ac:dyDescent="0.3">
      <c r="A56" s="158" t="s">
        <v>190</v>
      </c>
      <c r="C56" s="84"/>
      <c r="D56" s="87"/>
      <c r="E56" s="91" t="s">
        <v>167</v>
      </c>
      <c r="F56" s="100" t="s">
        <v>147</v>
      </c>
      <c r="G56" s="164" t="s">
        <v>150</v>
      </c>
      <c r="H56" s="165" t="s">
        <v>2</v>
      </c>
      <c r="I56" s="165" t="s">
        <v>3</v>
      </c>
      <c r="J56" s="100" t="s">
        <v>90</v>
      </c>
      <c r="O56" s="86">
        <f>IF(ALT_INVOER!E57&gt;0,IF(ALT_INVOER!F57=LIJSTJES!G$3,ALT_INVOER!E57,IF(ALT_INVOER!F57=LIJSTJES!G$2,ALT_INVOER!E57*ALT_INVOER!G57/1000,ALT_INVOER!E57*0)),0)</f>
        <v>267317.5</v>
      </c>
      <c r="P56" s="86">
        <f>IF(ALT_INVOER!G57&gt;0,IF(ALT_INVOER!F57=LIJSTJES!G$3,ALT_INVOER!E57/ALT_INVOER!G57*1000,ALT_INVOER!E57),0)</f>
        <v>805173.19277108437</v>
      </c>
      <c r="Q56" s="86"/>
      <c r="R56" s="86"/>
      <c r="S56" s="86">
        <f>IF(ALT_INVOER!F57=LIJSTJES!G$3,ALT_INVOER!E57*ALT_INVOER!H57,IF(ALT_INVOER!F57=LIJSTJES!G$2,ALT_INVOER!E57*ALT_INVOER!G57/1000*ALT_INVOER!H57,ALT_INVOER!E57*0))</f>
        <v>247268687.5</v>
      </c>
      <c r="T56" s="86">
        <f>IF(ALT_INVOER!$F57=LIJSTJES!$G$3,ALT_INVOER!$E57*ALT_INVOER!I57,IF(ALT_INVOER!$F57=LIJSTJES!$G$2,ALT_INVOER!$E57*ALT_INVOER!$G57/1000*ALT_INVOER!I57,ALT_INVOER!F57*0))</f>
        <v>534635</v>
      </c>
      <c r="U56" s="86">
        <f>IF(ALT_INVOER!$F57=LIJSTJES!$G$3,ALT_INVOER!$E57*ALT_INVOER!J57,IF(ALT_INVOER!$F57=LIJSTJES!$G$2,ALT_INVOER!$E57*ALT_INVOER!$G57/1000*ALT_INVOER!J57,ALT_INVOER!G57*0))</f>
        <v>20884179.6875</v>
      </c>
      <c r="V56" s="86">
        <f>IF(ALT_INVOER!K57=LIJSTJES!$G$7,O56,0)</f>
        <v>267317.5</v>
      </c>
      <c r="W56" s="86">
        <f>ALT_INVOER!H57*V56</f>
        <v>247268687.5</v>
      </c>
      <c r="X56" s="86">
        <f>ALT_INVOER!I57*V56</f>
        <v>534635</v>
      </c>
      <c r="Y56" s="86">
        <f>ALT_INVOER!J57*V56</f>
        <v>20884179.6875</v>
      </c>
      <c r="Z56" s="86"/>
    </row>
    <row r="57" spans="1:29" ht="13.9" x14ac:dyDescent="0.3">
      <c r="A57" s="158"/>
      <c r="B57" s="572" t="str">
        <f>'RESULTAAT &amp; SIMULATIE'!J34</f>
        <v>Snijmaiskuil, Graan-GPS</v>
      </c>
      <c r="C57" s="597"/>
      <c r="D57" s="598"/>
      <c r="E57" s="361">
        <f>'RESULTAAT &amp; SIMULATIE'!M34/100*(INVOERPAGINA!$C$17*365*INVOERPAGINA!$E$37)*(1-('RESULTAAT &amp; SIMULATIE'!N20*30.5)/365)+IF('RESULTAAT &amp; SIMULATIE'!J20=LIJSTJES!$B$5,0,('RESULTAAT &amp; SIMULATIE'!N20*30.5*INVOERPAGINA!$C$17*'RESULTAAT &amp; SIMULATIE'!M24))</f>
        <v>267317.5</v>
      </c>
      <c r="F57" s="351" t="s">
        <v>148</v>
      </c>
      <c r="G57" s="362">
        <f>'RESULTAAT &amp; SIMULATIE'!O34</f>
        <v>332</v>
      </c>
      <c r="H57" s="362">
        <f>'RESULTAAT &amp; SIMULATIE'!P34</f>
        <v>925</v>
      </c>
      <c r="I57" s="362">
        <f>'RESULTAAT &amp; SIMULATIE'!Q34</f>
        <v>2</v>
      </c>
      <c r="J57" s="362">
        <f>'RESULTAAT &amp; SIMULATIE'!R34</f>
        <v>78.125</v>
      </c>
      <c r="K57" s="356" t="s">
        <v>164</v>
      </c>
      <c r="O57" s="86">
        <f>IF(ALT_INVOER!E58&gt;0,IF(ALT_INVOER!F58=LIJSTJES!G$3,ALT_INVOER!E58,IF(ALT_INVOER!F58=LIJSTJES!G$2,ALT_INVOER!E58*ALT_INVOER!G58/1000,ALT_INVOER!E58*0)),0)</f>
        <v>0</v>
      </c>
      <c r="P57" s="86">
        <f>IF(ALT_INVOER!G58&gt;0,IF(ALT_INVOER!F58=LIJSTJES!G$3,ALT_INVOER!E58/ALT_INVOER!G58*1000,ALT_INVOER!E58),0)</f>
        <v>0</v>
      </c>
      <c r="Q57" s="86"/>
      <c r="R57" s="86"/>
      <c r="S57" s="86">
        <f>IF(ALT_INVOER!F58=LIJSTJES!G$3,ALT_INVOER!E58*ALT_INVOER!H58,IF(ALT_INVOER!F58=LIJSTJES!G$2,ALT_INVOER!E58*ALT_INVOER!G58/1000*ALT_INVOER!H58,ALT_INVOER!E58*0))</f>
        <v>0</v>
      </c>
      <c r="T57" s="86">
        <f>IF(ALT_INVOER!$F58=LIJSTJES!$G$3,ALT_INVOER!$E58*ALT_INVOER!I58,IF(ALT_INVOER!$F58=LIJSTJES!$G$2,ALT_INVOER!$E58*ALT_INVOER!$G58/1000*ALT_INVOER!I58,ALT_INVOER!F58*0))</f>
        <v>0</v>
      </c>
      <c r="U57" s="86">
        <f>IF(ALT_INVOER!$F58=LIJSTJES!$G$3,ALT_INVOER!$E58*ALT_INVOER!J58,IF(ALT_INVOER!$F58=LIJSTJES!$G$2,ALT_INVOER!$E58*ALT_INVOER!$G58/1000*ALT_INVOER!J58,ALT_INVOER!G58*0))</f>
        <v>0</v>
      </c>
      <c r="V57" s="86">
        <f>IF(ALT_INVOER!K58=LIJSTJES!$G$7,O57,0)</f>
        <v>0</v>
      </c>
      <c r="W57" s="86">
        <f>ALT_INVOER!H58*V57</f>
        <v>0</v>
      </c>
      <c r="X57" s="86">
        <f>ALT_INVOER!I58*V57</f>
        <v>0</v>
      </c>
      <c r="Y57" s="86">
        <f>ALT_INVOER!J58*V57</f>
        <v>0</v>
      </c>
      <c r="Z57" s="86"/>
    </row>
    <row r="58" spans="1:29" ht="13.9" x14ac:dyDescent="0.3">
      <c r="A58" s="158"/>
      <c r="B58" s="572"/>
      <c r="C58" s="597"/>
      <c r="D58" s="598"/>
      <c r="E58" s="361"/>
      <c r="F58" s="351" t="s">
        <v>148</v>
      </c>
      <c r="G58" s="362"/>
      <c r="H58" s="363"/>
      <c r="I58" s="364"/>
      <c r="J58" s="365"/>
      <c r="K58" s="356" t="s">
        <v>164</v>
      </c>
      <c r="O58" s="86">
        <f>IF(ALT_INVOER!E59&gt;0,IF(ALT_INVOER!F59=LIJSTJES!G$3,ALT_INVOER!E59,IF(ALT_INVOER!F59=LIJSTJES!G$2,ALT_INVOER!E59*ALT_INVOER!G59/1000,ALT_INVOER!E59*0)),0)</f>
        <v>0</v>
      </c>
      <c r="P58" s="86">
        <f>IF(ALT_INVOER!G59&gt;0,IF(ALT_INVOER!F59=LIJSTJES!G$3,ALT_INVOER!E59/ALT_INVOER!G59*1000,ALT_INVOER!E59),0)</f>
        <v>0</v>
      </c>
      <c r="Q58" s="86"/>
      <c r="R58" s="86"/>
      <c r="S58" s="86">
        <f>IF(ALT_INVOER!F59=LIJSTJES!G$3,ALT_INVOER!E59*ALT_INVOER!H59,IF(ALT_INVOER!F59=LIJSTJES!G$2,ALT_INVOER!E59*ALT_INVOER!G59/1000*ALT_INVOER!H59,ALT_INVOER!E59*0))</f>
        <v>0</v>
      </c>
      <c r="T58" s="86">
        <f>IF(ALT_INVOER!$F59=LIJSTJES!$G$3,ALT_INVOER!$E59*ALT_INVOER!I59,IF(ALT_INVOER!$F59=LIJSTJES!$G$2,ALT_INVOER!$E59*ALT_INVOER!$G59/1000*ALT_INVOER!I59,ALT_INVOER!F59*0))</f>
        <v>0</v>
      </c>
      <c r="U58" s="86">
        <f>IF(ALT_INVOER!$F59=LIJSTJES!$G$3,ALT_INVOER!$E59*ALT_INVOER!J59,IF(ALT_INVOER!$F59=LIJSTJES!$G$2,ALT_INVOER!$E59*ALT_INVOER!$G59/1000*ALT_INVOER!J59,ALT_INVOER!G59*0))</f>
        <v>0</v>
      </c>
      <c r="V58" s="86">
        <f>IF(ALT_INVOER!K59=LIJSTJES!$G$7,O58,0)</f>
        <v>0</v>
      </c>
      <c r="W58" s="86">
        <f>ALT_INVOER!H59*V58</f>
        <v>0</v>
      </c>
      <c r="X58" s="86">
        <f>ALT_INVOER!I59*V58</f>
        <v>0</v>
      </c>
      <c r="Y58" s="86">
        <f>ALT_INVOER!J59*V58</f>
        <v>0</v>
      </c>
      <c r="Z58" s="86"/>
    </row>
    <row r="59" spans="1:29" ht="13.9" x14ac:dyDescent="0.3">
      <c r="A59" s="158"/>
      <c r="B59" s="572"/>
      <c r="C59" s="597"/>
      <c r="D59" s="598"/>
      <c r="E59" s="361"/>
      <c r="F59" s="351" t="s">
        <v>148</v>
      </c>
      <c r="G59" s="362"/>
      <c r="H59" s="363"/>
      <c r="I59" s="364"/>
      <c r="J59" s="365"/>
      <c r="K59" s="356" t="s">
        <v>164</v>
      </c>
      <c r="O59" s="86">
        <f>IF(ALT_INVOER!E60&gt;0,IF(ALT_INVOER!F60=LIJSTJES!G$3,ALT_INVOER!E60,IF(ALT_INVOER!F60=LIJSTJES!G$2,ALT_INVOER!E60*ALT_INVOER!G60/1000,ALT_INVOER!E60*0)),0)</f>
        <v>0</v>
      </c>
      <c r="P59" s="86">
        <f>IF(ALT_INVOER!G60&gt;0,IF(ALT_INVOER!F60=LIJSTJES!G$3,ALT_INVOER!E60/ALT_INVOER!G60*1000,ALT_INVOER!E60),0)</f>
        <v>0</v>
      </c>
      <c r="Q59" s="86"/>
      <c r="R59" s="86"/>
      <c r="S59" s="86">
        <f>IF(ALT_INVOER!F60=LIJSTJES!G$3,ALT_INVOER!E60*ALT_INVOER!H60,IF(ALT_INVOER!F60=LIJSTJES!G$2,ALT_INVOER!E60*ALT_INVOER!G60/1000*ALT_INVOER!H60,ALT_INVOER!E60*0))</f>
        <v>0</v>
      </c>
      <c r="T59" s="86">
        <f>IF(ALT_INVOER!$F60=LIJSTJES!$G$3,ALT_INVOER!$E60*ALT_INVOER!I60,IF(ALT_INVOER!$F60=LIJSTJES!$G$2,ALT_INVOER!$E60*ALT_INVOER!$G60/1000*ALT_INVOER!I60,ALT_INVOER!F60*0))</f>
        <v>0</v>
      </c>
      <c r="U59" s="86">
        <f>IF(ALT_INVOER!$F60=LIJSTJES!$G$3,ALT_INVOER!$E60*ALT_INVOER!J60,IF(ALT_INVOER!$F60=LIJSTJES!$G$2,ALT_INVOER!$E60*ALT_INVOER!$G60/1000*ALT_INVOER!J60,ALT_INVOER!G60*0))</f>
        <v>0</v>
      </c>
      <c r="V59" s="86">
        <f>IF(ALT_INVOER!K60=LIJSTJES!$G$7,O59,0)</f>
        <v>0</v>
      </c>
      <c r="W59" s="86">
        <f>ALT_INVOER!H60*V59</f>
        <v>0</v>
      </c>
      <c r="X59" s="86">
        <f>ALT_INVOER!I60*V59</f>
        <v>0</v>
      </c>
      <c r="Y59" s="86">
        <f>ALT_INVOER!J60*V59</f>
        <v>0</v>
      </c>
      <c r="Z59" s="86"/>
    </row>
    <row r="60" spans="1:29" ht="13.9" x14ac:dyDescent="0.3">
      <c r="A60" s="158"/>
      <c r="B60" s="366"/>
      <c r="C60" s="375"/>
      <c r="D60" s="376"/>
      <c r="E60" s="361"/>
      <c r="F60" s="351" t="s">
        <v>148</v>
      </c>
      <c r="G60" s="362"/>
      <c r="H60" s="363"/>
      <c r="I60" s="364"/>
      <c r="J60" s="365"/>
      <c r="K60" s="356" t="s">
        <v>164</v>
      </c>
      <c r="O60" s="86">
        <f>IF(ALT_INVOER!E61&gt;0,IF(ALT_INVOER!F61=LIJSTJES!G$3,ALT_INVOER!E61,IF(ALT_INVOER!F61=LIJSTJES!G$2,ALT_INVOER!E61*ALT_INVOER!G61/1000,ALT_INVOER!E61*0)),0)</f>
        <v>0</v>
      </c>
      <c r="P60" s="86">
        <f>IF(ALT_INVOER!G61&gt;0,IF(ALT_INVOER!F61=LIJSTJES!G$3,ALT_INVOER!E61/ALT_INVOER!G61*1000,ALT_INVOER!E61),0)</f>
        <v>0</v>
      </c>
      <c r="Q60" s="86"/>
      <c r="R60" s="86"/>
      <c r="S60" s="86">
        <f>IF(ALT_INVOER!F61=LIJSTJES!G$3,ALT_INVOER!E61*ALT_INVOER!H61,IF(ALT_INVOER!F61=LIJSTJES!G$2,ALT_INVOER!E61*ALT_INVOER!G61/1000*ALT_INVOER!H61,ALT_INVOER!E61*0))</f>
        <v>0</v>
      </c>
      <c r="T60" s="86">
        <f>IF(ALT_INVOER!$F61=LIJSTJES!$G$3,ALT_INVOER!$E61*ALT_INVOER!I61,IF(ALT_INVOER!$F61=LIJSTJES!$G$2,ALT_INVOER!$E61*ALT_INVOER!$G61/1000*ALT_INVOER!I61,ALT_INVOER!F61*0))</f>
        <v>0</v>
      </c>
      <c r="U60" s="86">
        <f>IF(ALT_INVOER!$F61=LIJSTJES!$G$3,ALT_INVOER!$E61*ALT_INVOER!J61,IF(ALT_INVOER!$F61=LIJSTJES!$G$2,ALT_INVOER!$E61*ALT_INVOER!$G61/1000*ALT_INVOER!J61,ALT_INVOER!G61*0))</f>
        <v>0</v>
      </c>
      <c r="V60" s="86">
        <f>IF(ALT_INVOER!K61=LIJSTJES!$G$7,O60,0)</f>
        <v>0</v>
      </c>
      <c r="W60" s="86">
        <f>ALT_INVOER!H61*V60</f>
        <v>0</v>
      </c>
      <c r="X60" s="86">
        <f>ALT_INVOER!I61*V60</f>
        <v>0</v>
      </c>
      <c r="Y60" s="86">
        <f>ALT_INVOER!J61*V60</f>
        <v>0</v>
      </c>
      <c r="Z60" s="86"/>
    </row>
    <row r="61" spans="1:29" ht="13.9" x14ac:dyDescent="0.3">
      <c r="A61" s="158"/>
      <c r="B61" s="366"/>
      <c r="C61" s="375"/>
      <c r="D61" s="376"/>
      <c r="E61" s="361"/>
      <c r="F61" s="351" t="s">
        <v>148</v>
      </c>
      <c r="G61" s="362"/>
      <c r="H61" s="363"/>
      <c r="I61" s="364"/>
      <c r="J61" s="365"/>
      <c r="K61" s="356" t="s">
        <v>164</v>
      </c>
      <c r="O61" s="86">
        <f>IF(ALT_INVOER!E62&gt;0,IF(ALT_INVOER!F62=LIJSTJES!G$3,ALT_INVOER!E62,IF(ALT_INVOER!F62=LIJSTJES!G$2,ALT_INVOER!E62*ALT_INVOER!G62/1000,ALT_INVOER!E62*0)),0)</f>
        <v>0</v>
      </c>
      <c r="P61" s="86">
        <f>IF(ALT_INVOER!G62&gt;0,IF(ALT_INVOER!F62=LIJSTJES!G$3,ALT_INVOER!E62/ALT_INVOER!G62*1000,ALT_INVOER!E62),0)</f>
        <v>0</v>
      </c>
      <c r="Q61" s="86"/>
      <c r="R61" s="86"/>
      <c r="S61" s="86">
        <f>IF(ALT_INVOER!F62=LIJSTJES!G$3,ALT_INVOER!E62*ALT_INVOER!H62,IF(ALT_INVOER!F62=LIJSTJES!G$2,ALT_INVOER!E62*ALT_INVOER!G62/1000*ALT_INVOER!H62,ALT_INVOER!E62*0))</f>
        <v>0</v>
      </c>
      <c r="T61" s="86">
        <f>IF(ALT_INVOER!$F62=LIJSTJES!$G$3,ALT_INVOER!$E62*ALT_INVOER!I62,IF(ALT_INVOER!$F62=LIJSTJES!$G$2,ALT_INVOER!$E62*ALT_INVOER!$G62/1000*ALT_INVOER!I62,ALT_INVOER!F62*0))</f>
        <v>0</v>
      </c>
      <c r="U61" s="86">
        <f>IF(ALT_INVOER!$F62=LIJSTJES!$G$3,ALT_INVOER!$E62*ALT_INVOER!J62,IF(ALT_INVOER!$F62=LIJSTJES!$G$2,ALT_INVOER!$E62*ALT_INVOER!$G62/1000*ALT_INVOER!J62,ALT_INVOER!G62*0))</f>
        <v>0</v>
      </c>
      <c r="V61" s="86">
        <f>IF(ALT_INVOER!K62=LIJSTJES!$G$7,O61,0)</f>
        <v>0</v>
      </c>
      <c r="W61" s="86">
        <f>ALT_INVOER!H62*V61</f>
        <v>0</v>
      </c>
      <c r="X61" s="86">
        <f>ALT_INVOER!I62*V61</f>
        <v>0</v>
      </c>
      <c r="Y61" s="86">
        <f>ALT_INVOER!J62*V61</f>
        <v>0</v>
      </c>
    </row>
    <row r="62" spans="1:29" ht="13.9" x14ac:dyDescent="0.3">
      <c r="A62" s="158"/>
      <c r="B62" s="572"/>
      <c r="C62" s="597"/>
      <c r="D62" s="598"/>
      <c r="E62" s="361"/>
      <c r="F62" s="351" t="s">
        <v>148</v>
      </c>
      <c r="G62" s="362"/>
      <c r="H62" s="363"/>
      <c r="I62" s="364"/>
      <c r="J62" s="365"/>
      <c r="K62" s="356" t="s">
        <v>164</v>
      </c>
      <c r="O62" s="86">
        <f>IF(ALT_INVOER!E63&gt;0,IF(ALT_INVOER!F63=LIJSTJES!G$3,ALT_INVOER!E63,IF(ALT_INVOER!F63=LIJSTJES!G$2,ALT_INVOER!E63*ALT_INVOER!G63/1000,ALT_INVOER!E63*0)),0)</f>
        <v>0</v>
      </c>
      <c r="P62" s="86">
        <f>IF(ALT_INVOER!G63&gt;0,IF(ALT_INVOER!F63=LIJSTJES!G$3,ALT_INVOER!E63/ALT_INVOER!G63*1000,ALT_INVOER!E63),0)</f>
        <v>0</v>
      </c>
      <c r="Q62" s="86"/>
      <c r="R62" s="86"/>
      <c r="S62" s="86">
        <f>IF(ALT_INVOER!F63=LIJSTJES!G$3,ALT_INVOER!E63*ALT_INVOER!H63,IF(ALT_INVOER!F63=LIJSTJES!G$2,ALT_INVOER!E63*ALT_INVOER!G63/1000*ALT_INVOER!H63,ALT_INVOER!E63*0))</f>
        <v>0</v>
      </c>
      <c r="T62" s="86">
        <f>IF(ALT_INVOER!$F63=LIJSTJES!$G$3,ALT_INVOER!$E63*ALT_INVOER!I63,IF(ALT_INVOER!$F63=LIJSTJES!$G$2,ALT_INVOER!$E63*ALT_INVOER!$G63/1000*ALT_INVOER!I63,ALT_INVOER!F63*0))</f>
        <v>0</v>
      </c>
      <c r="U62" s="86">
        <f>IF(ALT_INVOER!$F63=LIJSTJES!$G$3,ALT_INVOER!$E63*ALT_INVOER!J63,IF(ALT_INVOER!$F63=LIJSTJES!$G$2,ALT_INVOER!$E63*ALT_INVOER!$G63/1000*ALT_INVOER!J63,ALT_INVOER!G63*0))</f>
        <v>0</v>
      </c>
      <c r="V62" s="86">
        <f>IF(ALT_INVOER!K63=LIJSTJES!$G$7,O62,0)</f>
        <v>0</v>
      </c>
      <c r="W62" s="86">
        <f>ALT_INVOER!H63*V62</f>
        <v>0</v>
      </c>
      <c r="X62" s="86">
        <f>ALT_INVOER!I63*V62</f>
        <v>0</v>
      </c>
      <c r="Y62" s="86">
        <f>ALT_INVOER!J63*V62</f>
        <v>0</v>
      </c>
    </row>
    <row r="63" spans="1:29" x14ac:dyDescent="0.2">
      <c r="A63" s="158"/>
      <c r="B63" s="575"/>
      <c r="C63" s="599"/>
      <c r="D63" s="599"/>
      <c r="E63" s="361"/>
      <c r="F63" s="351" t="s">
        <v>148</v>
      </c>
      <c r="G63" s="362"/>
      <c r="H63" s="362"/>
      <c r="I63" s="362"/>
      <c r="J63" s="369"/>
      <c r="K63" s="356" t="s">
        <v>164</v>
      </c>
      <c r="O63" s="161">
        <f t="shared" ref="O63:Y63" si="5">SUM(O56:O62)</f>
        <v>267317.5</v>
      </c>
      <c r="P63" s="161">
        <f t="shared" si="5"/>
        <v>805173.19277108437</v>
      </c>
      <c r="Q63" s="161">
        <f t="shared" si="5"/>
        <v>0</v>
      </c>
      <c r="R63" s="161">
        <f t="shared" si="5"/>
        <v>0</v>
      </c>
      <c r="S63" s="161">
        <f t="shared" si="5"/>
        <v>247268687.5</v>
      </c>
      <c r="T63" s="161">
        <f t="shared" si="5"/>
        <v>534635</v>
      </c>
      <c r="U63" s="161">
        <f t="shared" si="5"/>
        <v>20884179.6875</v>
      </c>
      <c r="V63" s="161">
        <f t="shared" si="5"/>
        <v>267317.5</v>
      </c>
      <c r="W63" s="161">
        <f t="shared" si="5"/>
        <v>247268687.5</v>
      </c>
      <c r="X63" s="161">
        <f t="shared" si="5"/>
        <v>534635</v>
      </c>
      <c r="Y63" s="161">
        <f t="shared" si="5"/>
        <v>20884179.6875</v>
      </c>
      <c r="Z63" s="161">
        <f>IF(O63&gt;0,S63/O63,0)</f>
        <v>925</v>
      </c>
      <c r="AA63" s="161">
        <f>SUM(AA56:AA62)</f>
        <v>0</v>
      </c>
      <c r="AB63" s="161">
        <f>SUM(AB56:AB62)</f>
        <v>0</v>
      </c>
    </row>
    <row r="64" spans="1:29" x14ac:dyDescent="0.2">
      <c r="H64" s="198" t="s">
        <v>187</v>
      </c>
      <c r="S64" s="88" t="s">
        <v>2</v>
      </c>
      <c r="T64" s="88" t="s">
        <v>3</v>
      </c>
      <c r="U64" s="88" t="s">
        <v>73</v>
      </c>
      <c r="V64" s="88" t="s">
        <v>169</v>
      </c>
      <c r="W64" s="83" t="s">
        <v>172</v>
      </c>
      <c r="X64" s="83" t="s">
        <v>173</v>
      </c>
      <c r="Y64" s="83" t="s">
        <v>174</v>
      </c>
    </row>
    <row r="65" spans="1:29" x14ac:dyDescent="0.2">
      <c r="A65" s="158" t="s">
        <v>171</v>
      </c>
      <c r="C65" s="84"/>
      <c r="D65" s="87"/>
      <c r="E65" s="100" t="s">
        <v>167</v>
      </c>
      <c r="F65" s="100" t="s">
        <v>147</v>
      </c>
      <c r="G65" s="164" t="s">
        <v>150</v>
      </c>
      <c r="H65" s="165" t="s">
        <v>2</v>
      </c>
      <c r="I65" s="165" t="s">
        <v>3</v>
      </c>
      <c r="J65" s="100" t="s">
        <v>90</v>
      </c>
      <c r="O65" s="86">
        <f>IF(ALT_INVOER!E66&gt;0,IF(ALT_INVOER!F66=LIJSTJES!G$3,ALT_INVOER!E66,IF(ALT_INVOER!F66=LIJSTJES!G$2,ALT_INVOER!E66*ALT_INVOER!G66/1000,ALT_INVOER!E66*0)),0)</f>
        <v>0</v>
      </c>
      <c r="P65" s="86">
        <f>IF(ALT_INVOER!G66&gt;0,IF(ALT_INVOER!F66=LIJSTJES!G$3,ALT_INVOER!E66/ALT_INVOER!G66*1000,ALT_INVOER!E66),0)</f>
        <v>0</v>
      </c>
      <c r="Q65" s="86"/>
      <c r="R65" s="86"/>
      <c r="S65" s="86">
        <f>IF(ALT_INVOER!F66=LIJSTJES!G$3,ALT_INVOER!E66*ALT_INVOER!H66,IF(ALT_INVOER!F66=LIJSTJES!G$2,ALT_INVOER!E66*ALT_INVOER!G66/1000*ALT_INVOER!H66,ALT_INVOER!E66*0))</f>
        <v>0</v>
      </c>
      <c r="T65" s="86">
        <f>IF(ALT_INVOER!$F66=LIJSTJES!$G$3,ALT_INVOER!$E66*ALT_INVOER!I66,IF(ALT_INVOER!$F66=LIJSTJES!$G$2,ALT_INVOER!$E66*ALT_INVOER!$G66/1000*ALT_INVOER!I66,ALT_INVOER!F66*0))</f>
        <v>0</v>
      </c>
      <c r="U65" s="86">
        <f>IF(ALT_INVOER!$F66=LIJSTJES!$G$3,ALT_INVOER!$E66*ALT_INVOER!J66,IF(ALT_INVOER!$F66=LIJSTJES!$G$2,ALT_INVOER!$E66*ALT_INVOER!$G66/1000*ALT_INVOER!J66,ALT_INVOER!G66*0))</f>
        <v>0</v>
      </c>
      <c r="V65" s="86">
        <f>IF(ALT_INVOER!K66=LIJSTJES!$G$7,O65,0)</f>
        <v>0</v>
      </c>
      <c r="W65" s="86">
        <f>ALT_INVOER!H66*V65</f>
        <v>0</v>
      </c>
      <c r="X65" s="86">
        <f>ALT_INVOER!I66*V65</f>
        <v>0</v>
      </c>
      <c r="Y65" s="86">
        <f>ALT_INVOER!J66*V65</f>
        <v>0</v>
      </c>
      <c r="Z65" s="86"/>
    </row>
    <row r="66" spans="1:29" x14ac:dyDescent="0.2">
      <c r="B66" s="566" t="str">
        <f>'RESULTAAT &amp; SIMULATIE'!J35</f>
        <v>Overige ruwvoeders</v>
      </c>
      <c r="C66" s="593"/>
      <c r="D66" s="594"/>
      <c r="E66" s="350">
        <f>'RESULTAAT &amp; SIMULATIE'!M35/100*(INVOERPAGINA!$C$17*365*INVOERPAGINA!$E$37)*(1-('RESULTAAT &amp; SIMULATIE'!N20*30.5)/365)+IF('RESULTAAT &amp; SIMULATIE'!J20=LIJSTJES!$B$5,0,('RESULTAAT &amp; SIMULATIE'!N20*30.5*INVOERPAGINA!$C$17*'RESULTAAT &amp; SIMULATIE'!M25))</f>
        <v>0</v>
      </c>
      <c r="F66" s="351" t="s">
        <v>149</v>
      </c>
      <c r="G66" s="352">
        <f>'RESULTAAT &amp; SIMULATIE'!O35</f>
        <v>840</v>
      </c>
      <c r="H66" s="352">
        <f>'RESULTAAT &amp; SIMULATIE'!P35</f>
        <v>375</v>
      </c>
      <c r="I66" s="352">
        <f>'RESULTAAT &amp; SIMULATIE'!Q35</f>
        <v>1.2</v>
      </c>
      <c r="J66" s="352">
        <f>'RESULTAAT &amp; SIMULATIE'!R35</f>
        <v>44.375</v>
      </c>
      <c r="K66" s="356" t="s">
        <v>164</v>
      </c>
      <c r="O66" s="86">
        <f>IF(ALT_INVOER!E67&gt;0,IF(ALT_INVOER!F67=LIJSTJES!G$3,ALT_INVOER!E67,IF(ALT_INVOER!F67=LIJSTJES!G$2,ALT_INVOER!E67*ALT_INVOER!G67/1000,ALT_INVOER!E67*0)),0)</f>
        <v>0</v>
      </c>
      <c r="P66" s="86">
        <f>IF(ALT_INVOER!G67&gt;0,IF(ALT_INVOER!F67=LIJSTJES!G$3,ALT_INVOER!E67/ALT_INVOER!G67*1000,ALT_INVOER!E67),0)</f>
        <v>0</v>
      </c>
      <c r="Q66" s="86"/>
      <c r="R66" s="86"/>
      <c r="S66" s="86">
        <f>IF(ALT_INVOER!F67=LIJSTJES!G$3,ALT_INVOER!E67*ALT_INVOER!H67,IF(ALT_INVOER!F67=LIJSTJES!G$2,ALT_INVOER!E67*ALT_INVOER!G67/1000*ALT_INVOER!H67,ALT_INVOER!E67*0))</f>
        <v>0</v>
      </c>
      <c r="T66" s="86">
        <f>IF(ALT_INVOER!$F67=LIJSTJES!$G$3,ALT_INVOER!$E67*ALT_INVOER!I67,IF(ALT_INVOER!$F67=LIJSTJES!$G$2,ALT_INVOER!$E67*ALT_INVOER!$G67/1000*ALT_INVOER!I67,ALT_INVOER!F67*0))</f>
        <v>0</v>
      </c>
      <c r="U66" s="86">
        <f>IF(ALT_INVOER!$F67=LIJSTJES!$G$3,ALT_INVOER!$E67*ALT_INVOER!J67,IF(ALT_INVOER!$F67=LIJSTJES!$G$2,ALT_INVOER!$E67*ALT_INVOER!$G67/1000*ALT_INVOER!J67,ALT_INVOER!G67*0))</f>
        <v>0</v>
      </c>
      <c r="V66" s="86">
        <f>IF(ALT_INVOER!K67=LIJSTJES!$G$7,O66,0)</f>
        <v>0</v>
      </c>
      <c r="W66" s="86">
        <f>ALT_INVOER!H67*V66</f>
        <v>0</v>
      </c>
      <c r="X66" s="86">
        <f>ALT_INVOER!I67*V66</f>
        <v>0</v>
      </c>
      <c r="Y66" s="86">
        <f>ALT_INVOER!J67*V66</f>
        <v>0</v>
      </c>
      <c r="Z66" s="86"/>
    </row>
    <row r="67" spans="1:29" x14ac:dyDescent="0.2">
      <c r="B67" s="566"/>
      <c r="C67" s="593"/>
      <c r="D67" s="594"/>
      <c r="E67" s="350"/>
      <c r="F67" s="351" t="s">
        <v>149</v>
      </c>
      <c r="G67" s="352"/>
      <c r="H67" s="353"/>
      <c r="I67" s="354"/>
      <c r="J67" s="355"/>
      <c r="K67" s="356" t="s">
        <v>164</v>
      </c>
      <c r="O67" s="86">
        <f>IF(ALT_INVOER!E68&gt;0,IF(ALT_INVOER!F68=LIJSTJES!G$3,ALT_INVOER!E68,IF(ALT_INVOER!F68=LIJSTJES!G$2,ALT_INVOER!E68*ALT_INVOER!G68/1000,ALT_INVOER!E68*0)),0)</f>
        <v>0</v>
      </c>
      <c r="P67" s="86">
        <f>IF(ALT_INVOER!G68&gt;0,IF(ALT_INVOER!F68=LIJSTJES!G$3,ALT_INVOER!E68/ALT_INVOER!G68*1000,ALT_INVOER!E68),0)</f>
        <v>0</v>
      </c>
      <c r="Q67" s="86"/>
      <c r="R67" s="86"/>
      <c r="S67" s="86">
        <f>IF(ALT_INVOER!F68=LIJSTJES!G$3,ALT_INVOER!E68*ALT_INVOER!H68,IF(ALT_INVOER!F68=LIJSTJES!G$2,ALT_INVOER!E68*ALT_INVOER!G68/1000*ALT_INVOER!H68,ALT_INVOER!E68*0))</f>
        <v>0</v>
      </c>
      <c r="T67" s="86">
        <f>IF(ALT_INVOER!$F68=LIJSTJES!$G$3,ALT_INVOER!$E68*ALT_INVOER!I68,IF(ALT_INVOER!$F68=LIJSTJES!$G$2,ALT_INVOER!$E68*ALT_INVOER!$G68/1000*ALT_INVOER!I68,ALT_INVOER!F68*0))</f>
        <v>0</v>
      </c>
      <c r="U67" s="86">
        <f>IF(ALT_INVOER!$F68=LIJSTJES!$G$3,ALT_INVOER!$E68*ALT_INVOER!J68,IF(ALT_INVOER!$F68=LIJSTJES!$G$2,ALT_INVOER!$E68*ALT_INVOER!$G68/1000*ALT_INVOER!J68,ALT_INVOER!G68*0))</f>
        <v>0</v>
      </c>
      <c r="V67" s="86">
        <f>IF(ALT_INVOER!K68=LIJSTJES!$G$7,O67,0)</f>
        <v>0</v>
      </c>
      <c r="W67" s="86">
        <f>ALT_INVOER!H68*V67</f>
        <v>0</v>
      </c>
      <c r="X67" s="86">
        <f>ALT_INVOER!I68*V67</f>
        <v>0</v>
      </c>
      <c r="Y67" s="86">
        <f>ALT_INVOER!J68*V67</f>
        <v>0</v>
      </c>
      <c r="Z67" s="86"/>
    </row>
    <row r="68" spans="1:29" x14ac:dyDescent="0.2">
      <c r="B68" s="566"/>
      <c r="C68" s="593"/>
      <c r="D68" s="594"/>
      <c r="E68" s="350"/>
      <c r="F68" s="351" t="s">
        <v>149</v>
      </c>
      <c r="G68" s="352"/>
      <c r="H68" s="353"/>
      <c r="I68" s="354"/>
      <c r="J68" s="355"/>
      <c r="K68" s="356" t="s">
        <v>164</v>
      </c>
      <c r="O68" s="86">
        <f>IF(ALT_INVOER!E69&gt;0,IF(ALT_INVOER!F69=LIJSTJES!G$3,ALT_INVOER!E69,IF(ALT_INVOER!F69=LIJSTJES!G$2,ALT_INVOER!E69*ALT_INVOER!G69/1000,ALT_INVOER!E69*0)),0)</f>
        <v>0</v>
      </c>
      <c r="P68" s="86">
        <f>IF(ALT_INVOER!G69&gt;0,IF(ALT_INVOER!F69=LIJSTJES!G$3,ALT_INVOER!E69/ALT_INVOER!G69*1000,ALT_INVOER!E69),0)</f>
        <v>0</v>
      </c>
      <c r="Q68" s="86"/>
      <c r="R68" s="86"/>
      <c r="S68" s="86">
        <f>IF(ALT_INVOER!F69=LIJSTJES!G$3,ALT_INVOER!E69*ALT_INVOER!H69,IF(ALT_INVOER!F69=LIJSTJES!G$2,ALT_INVOER!E69*ALT_INVOER!G69/1000*ALT_INVOER!H69,ALT_INVOER!E69*0))</f>
        <v>0</v>
      </c>
      <c r="T68" s="86">
        <f>IF(ALT_INVOER!$F69=LIJSTJES!$G$3,ALT_INVOER!$E69*ALT_INVOER!I69,IF(ALT_INVOER!$F69=LIJSTJES!$G$2,ALT_INVOER!$E69*ALT_INVOER!$G69/1000*ALT_INVOER!I69,ALT_INVOER!F69*0))</f>
        <v>0</v>
      </c>
      <c r="U68" s="86">
        <f>IF(ALT_INVOER!$F69=LIJSTJES!$G$3,ALT_INVOER!$E69*ALT_INVOER!J69,IF(ALT_INVOER!$F69=LIJSTJES!$G$2,ALT_INVOER!$E69*ALT_INVOER!$G69/1000*ALT_INVOER!J69,ALT_INVOER!G69*0))</f>
        <v>0</v>
      </c>
      <c r="V68" s="86">
        <f>IF(ALT_INVOER!K69=LIJSTJES!$G$7,O68,0)</f>
        <v>0</v>
      </c>
      <c r="W68" s="86">
        <f>ALT_INVOER!H69*V68</f>
        <v>0</v>
      </c>
      <c r="X68" s="86">
        <f>ALT_INVOER!I69*V68</f>
        <v>0</v>
      </c>
      <c r="Y68" s="86">
        <f>ALT_INVOER!J69*V68</f>
        <v>0</v>
      </c>
    </row>
    <row r="69" spans="1:29" x14ac:dyDescent="0.2">
      <c r="A69" s="85"/>
      <c r="B69" s="357"/>
      <c r="C69" s="377"/>
      <c r="D69" s="378"/>
      <c r="E69" s="350"/>
      <c r="F69" s="351" t="s">
        <v>148</v>
      </c>
      <c r="G69" s="352"/>
      <c r="H69" s="353"/>
      <c r="I69" s="354"/>
      <c r="J69" s="355"/>
      <c r="K69" s="356" t="s">
        <v>164</v>
      </c>
      <c r="O69" s="86">
        <f>IF(ALT_INVOER!E70&gt;0,IF(ALT_INVOER!F70=LIJSTJES!G$3,ALT_INVOER!E70,IF(ALT_INVOER!F70=LIJSTJES!G$2,ALT_INVOER!E70*ALT_INVOER!G70/1000,ALT_INVOER!E70*0)),0)</f>
        <v>0</v>
      </c>
      <c r="P69" s="86">
        <f>IF(ALT_INVOER!G70&gt;0,IF(ALT_INVOER!F70=LIJSTJES!G$3,ALT_INVOER!E70/ALT_INVOER!G70*1000,ALT_INVOER!E70),0)</f>
        <v>0</v>
      </c>
      <c r="Q69" s="86"/>
      <c r="R69" s="86"/>
      <c r="S69" s="86">
        <f>IF(ALT_INVOER!F70=LIJSTJES!G$3,ALT_INVOER!E70*ALT_INVOER!H70,IF(ALT_INVOER!F70=LIJSTJES!G$2,ALT_INVOER!E70*ALT_INVOER!G70/1000*ALT_INVOER!H70,ALT_INVOER!E70*0))</f>
        <v>0</v>
      </c>
      <c r="T69" s="86">
        <f>IF(ALT_INVOER!$F70=LIJSTJES!$G$3,ALT_INVOER!$E70*ALT_INVOER!I70,IF(ALT_INVOER!$F70=LIJSTJES!$G$2,ALT_INVOER!$E70*ALT_INVOER!$G70/1000*ALT_INVOER!I70,ALT_INVOER!F70*0))</f>
        <v>0</v>
      </c>
      <c r="U69" s="86">
        <f>IF(ALT_INVOER!$F70=LIJSTJES!$G$3,ALT_INVOER!$E70*ALT_INVOER!J70,IF(ALT_INVOER!$F70=LIJSTJES!$G$2,ALT_INVOER!$E70*ALT_INVOER!$G70/1000*ALT_INVOER!J70,ALT_INVOER!G70*0))</f>
        <v>0</v>
      </c>
      <c r="V69" s="86">
        <f>IF(ALT_INVOER!K70=LIJSTJES!$G$7,O69,0)</f>
        <v>0</v>
      </c>
      <c r="W69" s="86">
        <f>ALT_INVOER!H70*V69</f>
        <v>0</v>
      </c>
      <c r="X69" s="86">
        <f>ALT_INVOER!I70*V69</f>
        <v>0</v>
      </c>
      <c r="Y69" s="86">
        <f>ALT_INVOER!J70*V69</f>
        <v>0</v>
      </c>
    </row>
    <row r="70" spans="1:29" x14ac:dyDescent="0.2">
      <c r="A70" s="85"/>
      <c r="B70" s="357"/>
      <c r="C70" s="377"/>
      <c r="D70" s="378"/>
      <c r="E70" s="350"/>
      <c r="F70" s="351" t="s">
        <v>148</v>
      </c>
      <c r="G70" s="352"/>
      <c r="H70" s="352"/>
      <c r="I70" s="352"/>
      <c r="J70" s="360"/>
      <c r="K70" s="356" t="s">
        <v>164</v>
      </c>
      <c r="O70" s="86">
        <f>IF(ALT_INVOER!E71&gt;0,IF(ALT_INVOER!F71=LIJSTJES!G$3,ALT_INVOER!E71,IF(ALT_INVOER!F71=LIJSTJES!G$2,ALT_INVOER!E71*ALT_INVOER!G71/1000,ALT_INVOER!E71*0)),0)</f>
        <v>0</v>
      </c>
      <c r="P70" s="86">
        <f>IF(ALT_INVOER!G71&gt;0,IF(ALT_INVOER!F71=LIJSTJES!G$3,ALT_INVOER!E71/ALT_INVOER!G71*1000,ALT_INVOER!E71),0)</f>
        <v>0</v>
      </c>
      <c r="Q70" s="86"/>
      <c r="R70" s="86"/>
      <c r="S70" s="86">
        <f>IF(ALT_INVOER!F71=LIJSTJES!G$3,ALT_INVOER!E71*ALT_INVOER!H71,IF(ALT_INVOER!F71=LIJSTJES!G$2,ALT_INVOER!E71*ALT_INVOER!G71/1000*ALT_INVOER!H71,ALT_INVOER!E71*0))</f>
        <v>0</v>
      </c>
      <c r="T70" s="86">
        <f>IF(ALT_INVOER!$F71=LIJSTJES!$G$3,ALT_INVOER!$E71*ALT_INVOER!I71,IF(ALT_INVOER!$F71=LIJSTJES!$G$2,ALT_INVOER!$E71*ALT_INVOER!$G71/1000*ALT_INVOER!I71,ALT_INVOER!F71*0))</f>
        <v>0</v>
      </c>
      <c r="U70" s="86">
        <f>IF(ALT_INVOER!$F71=LIJSTJES!$G$3,ALT_INVOER!$E71*ALT_INVOER!J71,IF(ALT_INVOER!$F71=LIJSTJES!$G$2,ALT_INVOER!$E71*ALT_INVOER!$G71/1000*ALT_INVOER!J71,ALT_INVOER!G71*0))</f>
        <v>0</v>
      </c>
      <c r="V70" s="86">
        <f>IF(ALT_INVOER!K71=LIJSTJES!$G$7,O70,0)</f>
        <v>0</v>
      </c>
      <c r="W70" s="86">
        <f>ALT_INVOER!H71*V70</f>
        <v>0</v>
      </c>
      <c r="X70" s="86">
        <f>ALT_INVOER!I71*V70</f>
        <v>0</v>
      </c>
      <c r="Y70" s="86">
        <f>ALT_INVOER!J71*V70</f>
        <v>0</v>
      </c>
    </row>
    <row r="71" spans="1:29" x14ac:dyDescent="0.2">
      <c r="A71" s="85"/>
      <c r="B71" s="357"/>
      <c r="C71" s="377"/>
      <c r="D71" s="378"/>
      <c r="E71" s="350"/>
      <c r="F71" s="351" t="s">
        <v>148</v>
      </c>
      <c r="G71" s="352"/>
      <c r="H71" s="352"/>
      <c r="I71" s="352"/>
      <c r="J71" s="360"/>
      <c r="K71" s="356" t="s">
        <v>164</v>
      </c>
      <c r="O71" s="86">
        <f>IF(ALT_INVOER!E72&gt;0,IF(ALT_INVOER!F72=LIJSTJES!G$3,ALT_INVOER!E72,IF(ALT_INVOER!F72=LIJSTJES!G$2,ALT_INVOER!E72*ALT_INVOER!G72/1000,ALT_INVOER!E72*0)),0)</f>
        <v>0</v>
      </c>
      <c r="P71" s="86">
        <f>IF(ALT_INVOER!G72&gt;0,IF(ALT_INVOER!F72=LIJSTJES!G$3,ALT_INVOER!E72/ALT_INVOER!G72*1000,ALT_INVOER!E72),0)</f>
        <v>0</v>
      </c>
      <c r="Q71" s="86"/>
      <c r="R71" s="86"/>
      <c r="S71" s="86">
        <f>IF(ALT_INVOER!F72=LIJSTJES!G$3,ALT_INVOER!E72*ALT_INVOER!H72,IF(ALT_INVOER!F72=LIJSTJES!G$2,ALT_INVOER!E72*ALT_INVOER!G72/1000*ALT_INVOER!H72,ALT_INVOER!E72*0))</f>
        <v>0</v>
      </c>
      <c r="T71" s="86">
        <f>IF(ALT_INVOER!$F72=LIJSTJES!$G$3,ALT_INVOER!$E72*ALT_INVOER!I72,IF(ALT_INVOER!$F72=LIJSTJES!$G$2,ALT_INVOER!$E72*ALT_INVOER!$G72/1000*ALT_INVOER!I72,ALT_INVOER!F72*0))</f>
        <v>0</v>
      </c>
      <c r="U71" s="86">
        <f>IF(ALT_INVOER!$F72=LIJSTJES!$G$3,ALT_INVOER!$E72*ALT_INVOER!J72,IF(ALT_INVOER!$F72=LIJSTJES!$G$2,ALT_INVOER!$E72*ALT_INVOER!$G72/1000*ALT_INVOER!J72,ALT_INVOER!G72*0))</f>
        <v>0</v>
      </c>
      <c r="V71" s="86">
        <f>IF(ALT_INVOER!K72=LIJSTJES!$G$7,O71,0)</f>
        <v>0</v>
      </c>
      <c r="W71" s="86">
        <f>ALT_INVOER!H72*V71</f>
        <v>0</v>
      </c>
      <c r="X71" s="86">
        <f>ALT_INVOER!I72*V71</f>
        <v>0</v>
      </c>
      <c r="Y71" s="86">
        <f>ALT_INVOER!J72*V71</f>
        <v>0</v>
      </c>
    </row>
    <row r="72" spans="1:29" x14ac:dyDescent="0.2">
      <c r="A72" s="85"/>
      <c r="B72" s="357"/>
      <c r="C72" s="377"/>
      <c r="D72" s="378"/>
      <c r="E72" s="350"/>
      <c r="F72" s="351" t="s">
        <v>148</v>
      </c>
      <c r="G72" s="352"/>
      <c r="H72" s="352"/>
      <c r="I72" s="352"/>
      <c r="J72" s="360"/>
      <c r="K72" s="356" t="s">
        <v>164</v>
      </c>
      <c r="O72" s="161">
        <f t="shared" ref="O72:Y72" si="6">SUM(O65:O71)</f>
        <v>0</v>
      </c>
      <c r="P72" s="161">
        <f t="shared" si="6"/>
        <v>0</v>
      </c>
      <c r="Q72" s="161">
        <f t="shared" si="6"/>
        <v>0</v>
      </c>
      <c r="R72" s="161">
        <f t="shared" si="6"/>
        <v>0</v>
      </c>
      <c r="S72" s="161">
        <f t="shared" si="6"/>
        <v>0</v>
      </c>
      <c r="T72" s="161">
        <f t="shared" si="6"/>
        <v>0</v>
      </c>
      <c r="U72" s="161">
        <f t="shared" si="6"/>
        <v>0</v>
      </c>
      <c r="V72" s="161">
        <f t="shared" si="6"/>
        <v>0</v>
      </c>
      <c r="W72" s="161">
        <f t="shared" si="6"/>
        <v>0</v>
      </c>
      <c r="X72" s="161">
        <f t="shared" si="6"/>
        <v>0</v>
      </c>
      <c r="Y72" s="161">
        <f t="shared" si="6"/>
        <v>0</v>
      </c>
      <c r="Z72" s="161">
        <f>IF(O72&gt;0,S72/O72,0)</f>
        <v>0</v>
      </c>
      <c r="AA72" s="161">
        <f>SUM(AA65:AA71)</f>
        <v>0</v>
      </c>
      <c r="AB72" s="161">
        <f>SUM(AB65:AB71)</f>
        <v>0</v>
      </c>
      <c r="AC72" s="163"/>
    </row>
    <row r="73" spans="1:29" x14ac:dyDescent="0.2">
      <c r="A73" s="158"/>
      <c r="C73" s="84"/>
      <c r="D73" s="87"/>
      <c r="G73" s="86"/>
      <c r="H73" s="87"/>
      <c r="I73" s="87"/>
    </row>
    <row r="74" spans="1:29" x14ac:dyDescent="0.2">
      <c r="A74" s="158"/>
      <c r="C74" s="84"/>
      <c r="D74" s="87"/>
      <c r="G74" s="86"/>
      <c r="H74" s="87"/>
      <c r="I74" s="87"/>
    </row>
    <row r="77" spans="1:29" x14ac:dyDescent="0.2">
      <c r="A77" s="85"/>
    </row>
    <row r="78" spans="1:29" x14ac:dyDescent="0.2">
      <c r="A78" s="85"/>
    </row>
    <row r="79" spans="1:29" x14ac:dyDescent="0.2">
      <c r="A79" s="85"/>
    </row>
    <row r="80" spans="1:29" x14ac:dyDescent="0.2">
      <c r="A80" s="85"/>
    </row>
    <row r="81" spans="1:1" x14ac:dyDescent="0.2">
      <c r="A81" s="85"/>
    </row>
    <row r="82" spans="1:1" x14ac:dyDescent="0.2">
      <c r="A82" s="85"/>
    </row>
    <row r="83" spans="1:1" x14ac:dyDescent="0.2">
      <c r="A83" s="85"/>
    </row>
    <row r="84" spans="1:1" x14ac:dyDescent="0.2">
      <c r="A84" s="85"/>
    </row>
    <row r="85" spans="1:1" x14ac:dyDescent="0.2">
      <c r="A85" s="85"/>
    </row>
    <row r="86" spans="1:1" x14ac:dyDescent="0.2">
      <c r="A86" s="85"/>
    </row>
    <row r="87" spans="1:1" x14ac:dyDescent="0.2">
      <c r="A87" s="85"/>
    </row>
    <row r="88" spans="1:1" x14ac:dyDescent="0.2">
      <c r="A88" s="85"/>
    </row>
    <row r="89" spans="1:1" x14ac:dyDescent="0.2">
      <c r="A89" s="85"/>
    </row>
    <row r="90" spans="1:1" x14ac:dyDescent="0.2">
      <c r="A90" s="85"/>
    </row>
    <row r="99" spans="1:9" ht="12.2" customHeight="1" x14ac:dyDescent="0.2">
      <c r="A99" s="158"/>
      <c r="C99" s="84"/>
      <c r="D99" s="87"/>
      <c r="G99" s="86"/>
      <c r="H99" s="87"/>
      <c r="I99" s="87"/>
    </row>
    <row r="100" spans="1:9" x14ac:dyDescent="0.2">
      <c r="A100" s="158"/>
      <c r="C100" s="84"/>
      <c r="D100" s="87"/>
      <c r="G100" s="86"/>
      <c r="H100" s="87"/>
      <c r="I100" s="87"/>
    </row>
    <row r="101" spans="1:9" x14ac:dyDescent="0.2">
      <c r="A101" s="85"/>
    </row>
    <row r="102" spans="1:9" x14ac:dyDescent="0.2">
      <c r="A102" s="91"/>
      <c r="B102" s="85"/>
      <c r="C102" s="85"/>
      <c r="D102" s="85"/>
    </row>
    <row r="103" spans="1:9" hidden="1" x14ac:dyDescent="0.2">
      <c r="B103" s="85"/>
      <c r="C103" s="85"/>
      <c r="D103" s="85"/>
    </row>
    <row r="104" spans="1:9" ht="13.7" hidden="1" thickBot="1" x14ac:dyDescent="0.25">
      <c r="A104" s="84"/>
      <c r="B104" s="90"/>
      <c r="D104" s="90"/>
      <c r="E104" s="90"/>
    </row>
    <row r="105" spans="1:9" hidden="1" x14ac:dyDescent="0.2">
      <c r="A105" s="84"/>
      <c r="B105" s="203"/>
      <c r="C105" s="88"/>
      <c r="D105" s="204"/>
      <c r="E105" s="204"/>
    </row>
    <row r="106" spans="1:9" hidden="1" x14ac:dyDescent="0.2">
      <c r="A106" s="84"/>
      <c r="B106" s="203"/>
      <c r="C106" s="88"/>
      <c r="D106" s="204"/>
      <c r="E106" s="204"/>
    </row>
    <row r="107" spans="1:9" hidden="1" x14ac:dyDescent="0.2">
      <c r="A107" s="84"/>
      <c r="B107" s="203"/>
      <c r="C107" s="88"/>
      <c r="D107" s="204"/>
      <c r="E107" s="204"/>
    </row>
    <row r="108" spans="1:9" hidden="1" x14ac:dyDescent="0.2">
      <c r="B108" s="203"/>
      <c r="C108" s="88"/>
      <c r="D108" s="204"/>
      <c r="E108" s="204"/>
    </row>
    <row r="109" spans="1:9" hidden="1" x14ac:dyDescent="0.2">
      <c r="B109" s="203"/>
      <c r="C109" s="88"/>
      <c r="D109" s="204"/>
      <c r="E109" s="204"/>
    </row>
    <row r="110" spans="1:9" hidden="1" x14ac:dyDescent="0.2">
      <c r="B110" s="203"/>
      <c r="C110" s="88"/>
      <c r="D110" s="204"/>
      <c r="E110" s="204"/>
    </row>
    <row r="111" spans="1:9" hidden="1" x14ac:dyDescent="0.2">
      <c r="A111" s="91"/>
      <c r="B111" s="88"/>
      <c r="C111" s="88"/>
      <c r="D111" s="88"/>
      <c r="E111" s="88"/>
    </row>
    <row r="112" spans="1:9" hidden="1" x14ac:dyDescent="0.2">
      <c r="B112" s="88"/>
      <c r="C112" s="88"/>
      <c r="D112" s="88"/>
      <c r="E112" s="88"/>
    </row>
    <row r="113" spans="1:5" ht="13.7" hidden="1" thickBot="1" x14ac:dyDescent="0.25">
      <c r="A113" s="84"/>
      <c r="B113" s="90"/>
      <c r="C113" s="88"/>
      <c r="D113" s="90"/>
      <c r="E113" s="90"/>
    </row>
    <row r="114" spans="1:5" hidden="1" x14ac:dyDescent="0.2">
      <c r="A114" s="84"/>
      <c r="B114" s="203"/>
      <c r="C114" s="88"/>
      <c r="D114" s="204"/>
      <c r="E114" s="204"/>
    </row>
    <row r="115" spans="1:5" hidden="1" x14ac:dyDescent="0.2">
      <c r="A115" s="84"/>
      <c r="B115" s="203"/>
      <c r="C115" s="95"/>
      <c r="D115" s="204"/>
      <c r="E115" s="204"/>
    </row>
    <row r="116" spans="1:5" hidden="1" x14ac:dyDescent="0.2">
      <c r="A116" s="84"/>
      <c r="B116" s="203"/>
      <c r="C116" s="88"/>
      <c r="D116" s="204"/>
      <c r="E116" s="204"/>
    </row>
    <row r="117" spans="1:5" hidden="1" x14ac:dyDescent="0.2">
      <c r="A117" s="84"/>
      <c r="B117" s="203"/>
      <c r="C117" s="88"/>
      <c r="D117" s="204"/>
      <c r="E117" s="203"/>
    </row>
    <row r="118" spans="1:5" hidden="1" x14ac:dyDescent="0.2">
      <c r="A118" s="84"/>
      <c r="B118" s="203"/>
      <c r="C118" s="88"/>
      <c r="D118" s="204"/>
      <c r="E118" s="204"/>
    </row>
    <row r="119" spans="1:5" hidden="1" x14ac:dyDescent="0.2">
      <c r="A119" s="84"/>
      <c r="B119" s="203"/>
      <c r="C119" s="88"/>
      <c r="D119" s="204"/>
      <c r="E119" s="204"/>
    </row>
    <row r="120" spans="1:5" hidden="1" x14ac:dyDescent="0.2">
      <c r="A120" s="84"/>
      <c r="B120" s="203"/>
      <c r="C120" s="88"/>
      <c r="D120" s="204"/>
      <c r="E120" s="204"/>
    </row>
    <row r="121" spans="1:5" hidden="1" x14ac:dyDescent="0.2">
      <c r="B121" s="203"/>
      <c r="C121" s="88"/>
      <c r="D121" s="204"/>
      <c r="E121" s="204"/>
    </row>
    <row r="122" spans="1:5" hidden="1" x14ac:dyDescent="0.2">
      <c r="B122" s="203"/>
      <c r="C122" s="88"/>
      <c r="D122" s="204"/>
      <c r="E122" s="204"/>
    </row>
    <row r="123" spans="1:5" hidden="1" x14ac:dyDescent="0.2">
      <c r="A123" s="85"/>
      <c r="C123" s="86"/>
      <c r="D123" s="87"/>
    </row>
    <row r="124" spans="1:5" hidden="1" x14ac:dyDescent="0.2">
      <c r="A124" s="91"/>
      <c r="B124" s="85"/>
      <c r="C124" s="85"/>
      <c r="D124" s="85"/>
    </row>
    <row r="125" spans="1:5" hidden="1" x14ac:dyDescent="0.2">
      <c r="B125" s="85"/>
      <c r="C125" s="85"/>
      <c r="D125" s="85"/>
    </row>
    <row r="126" spans="1:5" ht="13.7" hidden="1" thickBot="1" x14ac:dyDescent="0.25">
      <c r="A126" s="84"/>
      <c r="B126" s="97"/>
      <c r="D126" s="90"/>
      <c r="E126" s="90"/>
    </row>
    <row r="127" spans="1:5" hidden="1" x14ac:dyDescent="0.2">
      <c r="A127" s="84"/>
      <c r="B127" s="203"/>
      <c r="C127" s="98"/>
      <c r="D127" s="204"/>
      <c r="E127" s="204"/>
    </row>
    <row r="128" spans="1:5" hidden="1" x14ac:dyDescent="0.2">
      <c r="A128" s="84"/>
      <c r="B128" s="203"/>
      <c r="C128" s="98"/>
      <c r="D128" s="204"/>
      <c r="E128" s="204"/>
    </row>
    <row r="129" spans="1:5" hidden="1" x14ac:dyDescent="0.2">
      <c r="A129" s="84"/>
      <c r="B129" s="203"/>
      <c r="C129" s="98"/>
      <c r="D129" s="204"/>
      <c r="E129" s="204"/>
    </row>
    <row r="130" spans="1:5" hidden="1" x14ac:dyDescent="0.2">
      <c r="B130" s="203"/>
      <c r="C130" s="98"/>
      <c r="D130" s="204"/>
      <c r="E130" s="204"/>
    </row>
    <row r="131" spans="1:5" hidden="1" x14ac:dyDescent="0.2">
      <c r="B131" s="203"/>
      <c r="C131" s="98"/>
      <c r="D131" s="204"/>
      <c r="E131" s="204"/>
    </row>
    <row r="132" spans="1:5" hidden="1" x14ac:dyDescent="0.2">
      <c r="B132" s="203"/>
      <c r="C132" s="98"/>
      <c r="D132" s="204"/>
      <c r="E132" s="204"/>
    </row>
    <row r="133" spans="1:5" hidden="1" x14ac:dyDescent="0.2">
      <c r="A133" s="91"/>
      <c r="B133" s="88"/>
      <c r="C133" s="88"/>
      <c r="D133" s="88"/>
      <c r="E133" s="88"/>
    </row>
    <row r="134" spans="1:5" hidden="1" x14ac:dyDescent="0.2">
      <c r="B134" s="88"/>
      <c r="C134" s="88"/>
      <c r="D134" s="88"/>
      <c r="E134" s="88"/>
    </row>
    <row r="135" spans="1:5" ht="13.7" hidden="1" thickBot="1" x14ac:dyDescent="0.25">
      <c r="A135" s="84"/>
      <c r="B135" s="97"/>
      <c r="C135" s="88"/>
      <c r="D135" s="90"/>
      <c r="E135" s="90"/>
    </row>
    <row r="136" spans="1:5" hidden="1" x14ac:dyDescent="0.2">
      <c r="A136" s="84"/>
      <c r="B136" s="203"/>
      <c r="C136" s="88"/>
      <c r="D136" s="204"/>
      <c r="E136" s="204"/>
    </row>
    <row r="137" spans="1:5" hidden="1" x14ac:dyDescent="0.2">
      <c r="A137" s="84"/>
      <c r="B137" s="203"/>
      <c r="C137" s="95"/>
      <c r="D137" s="204"/>
      <c r="E137" s="204"/>
    </row>
    <row r="138" spans="1:5" hidden="1" x14ac:dyDescent="0.2">
      <c r="A138" s="84"/>
      <c r="B138" s="203"/>
      <c r="C138" s="88"/>
      <c r="D138" s="204"/>
      <c r="E138" s="204"/>
    </row>
    <row r="139" spans="1:5" hidden="1" x14ac:dyDescent="0.2">
      <c r="A139" s="84"/>
      <c r="B139" s="203"/>
      <c r="C139" s="88"/>
      <c r="D139" s="204"/>
      <c r="E139" s="203"/>
    </row>
    <row r="140" spans="1:5" hidden="1" x14ac:dyDescent="0.2">
      <c r="A140" s="84"/>
      <c r="B140" s="203"/>
      <c r="C140" s="88"/>
      <c r="D140" s="204"/>
      <c r="E140" s="204"/>
    </row>
    <row r="141" spans="1:5" hidden="1" x14ac:dyDescent="0.2">
      <c r="A141" s="84"/>
      <c r="B141" s="203"/>
      <c r="C141" s="88"/>
      <c r="D141" s="204"/>
      <c r="E141" s="204"/>
    </row>
    <row r="142" spans="1:5" hidden="1" x14ac:dyDescent="0.2">
      <c r="A142" s="84"/>
      <c r="B142" s="203"/>
      <c r="C142" s="88"/>
      <c r="D142" s="204"/>
      <c r="E142" s="204"/>
    </row>
    <row r="143" spans="1:5" hidden="1" x14ac:dyDescent="0.2">
      <c r="B143" s="203"/>
      <c r="C143" s="88"/>
      <c r="D143" s="204"/>
      <c r="E143" s="204"/>
    </row>
    <row r="144" spans="1:5" hidden="1" x14ac:dyDescent="0.2">
      <c r="B144" s="203"/>
      <c r="C144" s="88"/>
      <c r="D144" s="204"/>
      <c r="E144" s="204"/>
    </row>
    <row r="145" spans="1:8" hidden="1" x14ac:dyDescent="0.2">
      <c r="C145" s="86"/>
      <c r="D145" s="87"/>
    </row>
    <row r="146" spans="1:8" hidden="1" x14ac:dyDescent="0.2">
      <c r="C146" s="86"/>
      <c r="D146" s="87"/>
    </row>
    <row r="147" spans="1:8" hidden="1" x14ac:dyDescent="0.2">
      <c r="C147" s="86"/>
      <c r="D147" s="205"/>
      <c r="E147" s="88"/>
      <c r="F147" s="88"/>
      <c r="G147" s="88"/>
    </row>
    <row r="148" spans="1:8" x14ac:dyDescent="0.2">
      <c r="B148" s="84"/>
      <c r="C148" s="86"/>
      <c r="D148" s="86"/>
      <c r="E148" s="88"/>
      <c r="F148" s="95"/>
      <c r="G148" s="88"/>
    </row>
    <row r="149" spans="1:8" x14ac:dyDescent="0.2">
      <c r="B149" s="84"/>
      <c r="C149" s="86"/>
      <c r="D149" s="86"/>
      <c r="E149" s="88"/>
      <c r="F149" s="95"/>
      <c r="G149" s="88"/>
    </row>
    <row r="150" spans="1:8" x14ac:dyDescent="0.2">
      <c r="B150" s="84"/>
      <c r="C150" s="86"/>
      <c r="D150" s="86"/>
      <c r="E150" s="88"/>
      <c r="F150" s="95"/>
      <c r="G150" s="88"/>
    </row>
    <row r="151" spans="1:8" x14ac:dyDescent="0.2">
      <c r="C151" s="171"/>
      <c r="D151" s="87"/>
    </row>
    <row r="152" spans="1:8" x14ac:dyDescent="0.2">
      <c r="A152" s="84"/>
      <c r="B152" s="86"/>
    </row>
    <row r="153" spans="1:8" x14ac:dyDescent="0.2">
      <c r="A153" s="84"/>
      <c r="F153" s="160"/>
      <c r="H153" s="86"/>
    </row>
    <row r="154" spans="1:8" x14ac:dyDescent="0.2">
      <c r="A154" s="84"/>
      <c r="D154" s="206"/>
      <c r="F154" s="160"/>
      <c r="H154" s="86"/>
    </row>
    <row r="157" spans="1:8" x14ac:dyDescent="0.2">
      <c r="C157" s="207"/>
    </row>
    <row r="158" spans="1:8" x14ac:dyDescent="0.2">
      <c r="C158" s="208"/>
      <c r="D158" s="86"/>
    </row>
    <row r="162" spans="1:32" x14ac:dyDescent="0.2">
      <c r="B162" s="86"/>
    </row>
    <row r="164" spans="1:32" x14ac:dyDescent="0.2">
      <c r="C164" s="86"/>
    </row>
    <row r="165" spans="1:32" x14ac:dyDescent="0.2">
      <c r="C165" s="160"/>
    </row>
    <row r="166" spans="1:32" x14ac:dyDescent="0.2">
      <c r="C166" s="160"/>
    </row>
    <row r="168" spans="1:32" x14ac:dyDescent="0.2">
      <c r="C168" s="88"/>
    </row>
    <row r="170" spans="1:32" x14ac:dyDescent="0.2">
      <c r="F170" s="87"/>
      <c r="G170" s="87"/>
    </row>
    <row r="171" spans="1:32" x14ac:dyDescent="0.2">
      <c r="F171" s="87"/>
      <c r="G171" s="87"/>
    </row>
    <row r="172" spans="1:32" x14ac:dyDescent="0.2">
      <c r="F172" s="87"/>
      <c r="G172" s="87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</row>
    <row r="173" spans="1:32" s="209" customFormat="1" x14ac:dyDescent="0.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32" x14ac:dyDescent="0.2"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</row>
    <row r="175" spans="1:32" s="209" customFormat="1" x14ac:dyDescent="0.2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</row>
    <row r="230" spans="2:3" x14ac:dyDescent="0.2">
      <c r="C230" s="86"/>
    </row>
    <row r="231" spans="2:3" x14ac:dyDescent="0.2">
      <c r="C231" s="86"/>
    </row>
    <row r="232" spans="2:3" x14ac:dyDescent="0.2">
      <c r="C232" s="86"/>
    </row>
    <row r="233" spans="2:3" x14ac:dyDescent="0.2">
      <c r="C233" s="86"/>
    </row>
    <row r="234" spans="2:3" x14ac:dyDescent="0.2">
      <c r="C234" s="86"/>
    </row>
    <row r="235" spans="2:3" x14ac:dyDescent="0.2">
      <c r="C235" s="86"/>
    </row>
    <row r="236" spans="2:3" x14ac:dyDescent="0.2">
      <c r="B236" s="86"/>
      <c r="C236" s="86"/>
    </row>
    <row r="237" spans="2:3" x14ac:dyDescent="0.2">
      <c r="B237" s="86"/>
      <c r="C237" s="86"/>
    </row>
    <row r="238" spans="2:3" x14ac:dyDescent="0.2">
      <c r="B238" s="86"/>
      <c r="C238" s="86"/>
    </row>
    <row r="239" spans="2:3" x14ac:dyDescent="0.2">
      <c r="C239" s="86"/>
    </row>
    <row r="240" spans="2:3" x14ac:dyDescent="0.2">
      <c r="C240" s="86"/>
    </row>
    <row r="241" spans="3:3" x14ac:dyDescent="0.2">
      <c r="C241" s="86"/>
    </row>
    <row r="242" spans="3:3" x14ac:dyDescent="0.2">
      <c r="C242" s="86"/>
    </row>
    <row r="243" spans="3:3" x14ac:dyDescent="0.2">
      <c r="C243" s="86"/>
    </row>
    <row r="244" spans="3:3" x14ac:dyDescent="0.2">
      <c r="C244" s="86"/>
    </row>
    <row r="247" spans="3:3" x14ac:dyDescent="0.2">
      <c r="C247" s="86"/>
    </row>
    <row r="248" spans="3:3" x14ac:dyDescent="0.2">
      <c r="C248" s="86"/>
    </row>
    <row r="249" spans="3:3" x14ac:dyDescent="0.2">
      <c r="C249" s="86"/>
    </row>
    <row r="252" spans="3:3" x14ac:dyDescent="0.2">
      <c r="C252" s="86"/>
    </row>
    <row r="253" spans="3:3" x14ac:dyDescent="0.2">
      <c r="C253" s="86"/>
    </row>
    <row r="254" spans="3:3" x14ac:dyDescent="0.2">
      <c r="C254" s="86"/>
    </row>
    <row r="257" spans="3:4" x14ac:dyDescent="0.2">
      <c r="C257" s="86"/>
    </row>
    <row r="258" spans="3:4" x14ac:dyDescent="0.2">
      <c r="C258" s="86"/>
    </row>
    <row r="259" spans="3:4" x14ac:dyDescent="0.2">
      <c r="C259" s="86"/>
      <c r="D259" s="160"/>
    </row>
    <row r="260" spans="3:4" x14ac:dyDescent="0.2">
      <c r="D260" s="160"/>
    </row>
  </sheetData>
  <sheetProtection password="9B85" sheet="1" objects="1" scenarios="1"/>
  <dataConsolidate/>
  <mergeCells count="13">
    <mergeCell ref="C13:E13"/>
    <mergeCell ref="C15:E15"/>
    <mergeCell ref="B67:D67"/>
    <mergeCell ref="B68:D68"/>
    <mergeCell ref="B48:D48"/>
    <mergeCell ref="B49:D49"/>
    <mergeCell ref="B50:D50"/>
    <mergeCell ref="B57:D57"/>
    <mergeCell ref="B58:D58"/>
    <mergeCell ref="B59:D59"/>
    <mergeCell ref="B62:D62"/>
    <mergeCell ref="B63:D63"/>
    <mergeCell ref="B66:D66"/>
  </mergeCells>
  <conditionalFormatting sqref="G13">
    <cfRule type="expression" dxfId="38" priority="4">
      <formula>"$B$18=Blad3!$B$4"</formula>
    </cfRule>
  </conditionalFormatting>
  <conditionalFormatting sqref="G15">
    <cfRule type="expression" dxfId="37" priority="1">
      <formula>"$B$20=Blad3!$B$4"</formula>
    </cfRule>
  </conditionalFormatting>
  <dataValidations count="3">
    <dataValidation allowBlank="1" showInputMessage="1" showErrorMessage="1" prompt="Volwassen gewicht ca. 500 kg_x000a_Bijv. kruising Jersey*HF" sqref="B5"/>
    <dataValidation allowBlank="1" showInputMessage="1" showErrorMessage="1" prompt="Volwassen gewicht ca. 400 kg_x000a_bijv. Jersey, Guernsey" sqref="B4"/>
    <dataValidation allowBlank="1" showInputMessage="1" showErrorMessage="1" prompt="Volwassen gewicht 600-700 kg _x000a_Bijv. (Red)-Holstein Friesian, FH, MRIJ, Brown Swiss, Fleckvieh, Montbeliare" sqref="B3"/>
  </dataValidations>
  <pageMargins left="0.7" right="0.7" top="0.75" bottom="0.75" header="0.3" footer="0.3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36A32A5-652A-42D3-B566-E28090D5C14C}">
            <xm:f>$C$13=LIJSTJES!$B$5</xm:f>
            <x14:dxf>
              <font>
                <color theme="0"/>
              </font>
            </x14:dxf>
          </x14:cfRule>
          <xm:sqref>F13</xm:sqref>
        </x14:conditionalFormatting>
        <x14:conditionalFormatting xmlns:xm="http://schemas.microsoft.com/office/excel/2006/main">
          <x14:cfRule type="expression" priority="5" id="{A51E4E57-0CCC-4304-A673-7824F855746E}">
            <xm:f>$C$13=LIJSTJES!$B$5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G13:H13</xm:sqref>
        </x14:conditionalFormatting>
        <x14:conditionalFormatting xmlns:xm="http://schemas.microsoft.com/office/excel/2006/main">
          <x14:cfRule type="expression" priority="3" id="{3EA1D589-B33A-4364-8464-4EEF6F63EBAE}">
            <xm:f>$C$15=LIJSTJES!$B$5</xm:f>
            <x14:dxf>
              <font>
                <color theme="0"/>
              </font>
            </x14:dxf>
          </x14:cfRule>
          <xm:sqref>F15</xm:sqref>
        </x14:conditionalFormatting>
        <x14:conditionalFormatting xmlns:xm="http://schemas.microsoft.com/office/excel/2006/main">
          <x14:cfRule type="expression" priority="2" id="{51FDCC8C-3D77-415E-9ADB-7A2B03C298B4}">
            <xm:f>$C$15=LIJSTJES!$B$5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G15:H15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Klik op het pijltje cel voor keuzelijst">
          <x14:formula1>
            <xm:f>LIJSTJES!$B$2:$B$7</xm:f>
          </x14:formula1>
          <xm:sqref>C15 C13</xm:sqref>
        </x14:dataValidation>
        <x14:dataValidation type="list" allowBlank="1" showInputMessage="1" showErrorMessage="1" prompt="Klik op het pijltje voor een keuze lijst">
          <x14:formula1>
            <xm:f>LIJSTJES!$G$2:$G$3</xm:f>
          </x14:formula1>
          <xm:sqref>F48</xm:sqref>
        </x14:dataValidation>
        <x14:dataValidation type="list" allowBlank="1" showInputMessage="1" showErrorMessage="1" prompt="Klik op het pijltje voor een keuzelijst">
          <x14:formula1>
            <xm:f>LIJSTJES!$G$2:$G$3</xm:f>
          </x14:formula1>
          <xm:sqref>F48:F54 F57:F63 F66:F72</xm:sqref>
        </x14:dataValidation>
        <x14:dataValidation type="list" allowBlank="1" showInputMessage="1" showErrorMessage="1" prompt="Klik op het pijltje voor een keuzelijst">
          <x14:formula1>
            <xm:f>LIJSTJES!$G$7:$G$8</xm:f>
          </x14:formula1>
          <xm:sqref>K48:K54 K57:K63 K66:K72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8"/>
  <sheetViews>
    <sheetView topLeftCell="B88" workbookViewId="0">
      <selection activeCell="I106" sqref="I106"/>
    </sheetView>
  </sheetViews>
  <sheetFormatPr defaultColWidth="9.140625" defaultRowHeight="15" x14ac:dyDescent="0.25"/>
  <cols>
    <col min="1" max="1" width="3.5703125" style="212" customWidth="1"/>
    <col min="2" max="2" width="53.28515625" style="212" bestFit="1" customWidth="1"/>
    <col min="3" max="3" width="11.7109375" style="212" customWidth="1"/>
    <col min="4" max="4" width="13" style="212" customWidth="1"/>
    <col min="5" max="5" width="19.5703125" style="212" customWidth="1"/>
    <col min="6" max="6" width="16" style="212" customWidth="1"/>
    <col min="7" max="7" width="11.5703125" style="212" customWidth="1"/>
    <col min="8" max="8" width="13.7109375" style="212" bestFit="1" customWidth="1"/>
    <col min="9" max="9" width="15.28515625" style="212" customWidth="1"/>
    <col min="10" max="10" width="9.140625" style="212"/>
    <col min="11" max="11" width="12.28515625" style="212" customWidth="1"/>
    <col min="12" max="12" width="11.28515625" style="212" customWidth="1"/>
    <col min="13" max="13" width="13.5703125" style="212" bestFit="1" customWidth="1"/>
    <col min="14" max="16384" width="9.140625" style="212"/>
  </cols>
  <sheetData>
    <row r="3" spans="2:11" x14ac:dyDescent="0.25">
      <c r="B3" s="14"/>
      <c r="C3" s="14" t="s">
        <v>10</v>
      </c>
      <c r="D3" s="15"/>
      <c r="E3" s="14" t="s">
        <v>11</v>
      </c>
      <c r="F3" s="15"/>
      <c r="G3" s="14" t="s">
        <v>12</v>
      </c>
      <c r="H3" s="16"/>
    </row>
    <row r="4" spans="2:11" x14ac:dyDescent="0.25">
      <c r="B4" s="10" t="s">
        <v>21</v>
      </c>
      <c r="C4" s="17" t="s">
        <v>8</v>
      </c>
      <c r="D4" s="11" t="s">
        <v>9</v>
      </c>
      <c r="E4" s="17" t="s">
        <v>8</v>
      </c>
      <c r="F4" s="12" t="s">
        <v>9</v>
      </c>
      <c r="G4" s="17" t="s">
        <v>8</v>
      </c>
      <c r="H4" s="13" t="s">
        <v>9</v>
      </c>
    </row>
    <row r="5" spans="2:11" x14ac:dyDescent="0.25">
      <c r="B5" s="3" t="s">
        <v>7</v>
      </c>
      <c r="C5" s="18">
        <f xml:space="preserve"> (42.4*600^0.75 *(1 + ((ALT_INVOER!B8*(0.337+0.116*ALT_INVOER!B9+ALT_INVOER!B10*0.06))/307 - 15) *0.00165))* 307 / 1000</f>
        <v>1605.3949862531513</v>
      </c>
      <c r="D5" s="28">
        <f>C5*ALT_INVOER!B$7</f>
        <v>160539.49862531511</v>
      </c>
      <c r="E5" s="18">
        <f xml:space="preserve"> (42.4 *500^0.75 *(1 + ((ALT_INVOER!B8*(0.337+0.116*ALT_INVOER!B9+ALT_INVOER!B10*0.06))/307 - 15) *0.00165))* 307 / 1000</f>
        <v>1400.2190043470462</v>
      </c>
      <c r="F5" s="5">
        <f>E5*ALT_INVOER!B$7</f>
        <v>140021.90043470461</v>
      </c>
      <c r="G5" s="18">
        <f xml:space="preserve"> (42.4 * 400^0.75 *(1 + ((ALT_INVOER!B8*(0.337+0.116*ALT_INVOER!B9+ALT_INVOER!B10*0.06))/307 - 15) *0.00165))* 307 / 1000</f>
        <v>1184.4410701759398</v>
      </c>
      <c r="H5" s="33">
        <f>G5*ALT_INVOER!B$7</f>
        <v>118444.10701759398</v>
      </c>
      <c r="J5" s="28">
        <v>161112.09940074879</v>
      </c>
      <c r="K5" s="102"/>
    </row>
    <row r="6" spans="2:11" x14ac:dyDescent="0.25">
      <c r="B6" s="3" t="s">
        <v>13</v>
      </c>
      <c r="C6" s="18">
        <f>(42.4*600^0.75*(1+(-15*0.00165))*58/1000)</f>
        <v>290.75235892833035</v>
      </c>
      <c r="D6" s="28">
        <f>C6*ALT_INVOER!B$7</f>
        <v>29075.235892833036</v>
      </c>
      <c r="E6" s="18">
        <f>(42.4*500^0.75*(1+(-15*0.00165))*58/1000)</f>
        <v>253.59302976294728</v>
      </c>
      <c r="F6" s="31">
        <f>E6*ALT_INVOER!B$7</f>
        <v>25359.30297629473</v>
      </c>
      <c r="G6" s="4">
        <f>(42.4*400^0.75*(1+(-15*0.00165))*58/1000)</f>
        <v>214.51358582413451</v>
      </c>
      <c r="H6" s="6">
        <f>G6*ALT_INVOER!B$7</f>
        <v>21451.35858241345</v>
      </c>
      <c r="J6" s="28">
        <v>29075.235892833036</v>
      </c>
      <c r="K6" s="102"/>
    </row>
    <row r="7" spans="2:11" x14ac:dyDescent="0.25">
      <c r="B7" s="3" t="s">
        <v>14</v>
      </c>
      <c r="C7" s="18">
        <f>(442*(ALT_INVOER!B8*(0.337+0.116*ALT_INVOER!B9+0.06*ALT_INVOER!B10)/307)*(1+((ALT_INVOER!B8*(0.337+0.116*ALT_INVOER!B9+0.06*ALT_INVOER!B10)/307)-15)*0.00165))*307/1000</f>
        <v>3521.0664476720399</v>
      </c>
      <c r="D7" s="28">
        <f>C7*ALT_INVOER!$B$7</f>
        <v>352106.64476720401</v>
      </c>
      <c r="E7" s="18">
        <f>C7</f>
        <v>3521.0664476720399</v>
      </c>
      <c r="F7" s="31">
        <f>E7*ALT_INVOER!$B$7</f>
        <v>352106.64476720401</v>
      </c>
      <c r="G7" s="4">
        <f>C7</f>
        <v>3521.0664476720399</v>
      </c>
      <c r="H7" s="6">
        <f>G7*ALT_INVOER!$B$7</f>
        <v>352106.64476720401</v>
      </c>
      <c r="J7" s="28">
        <v>383828.93524183962</v>
      </c>
      <c r="K7" s="102"/>
    </row>
    <row r="8" spans="2:11" x14ac:dyDescent="0.25">
      <c r="B8" s="3" t="s">
        <v>15</v>
      </c>
      <c r="C8" s="3">
        <v>194</v>
      </c>
      <c r="D8" s="29">
        <f>C8*ALT_INVOER!B$7</f>
        <v>19400</v>
      </c>
      <c r="E8" s="3">
        <v>165</v>
      </c>
      <c r="F8" s="31">
        <f>E8*ALT_INVOER!B$7</f>
        <v>16500</v>
      </c>
      <c r="G8" s="7">
        <v>136</v>
      </c>
      <c r="H8" s="6">
        <f>G8*ALT_INVOER!B$7</f>
        <v>13600</v>
      </c>
      <c r="J8" s="29">
        <v>19400</v>
      </c>
      <c r="K8" s="102"/>
    </row>
    <row r="9" spans="2:11" x14ac:dyDescent="0.25">
      <c r="B9" s="3" t="s">
        <v>16</v>
      </c>
      <c r="C9" s="3">
        <v>189</v>
      </c>
      <c r="D9" s="29">
        <f>C9*ALT_INVOER!$B$7</f>
        <v>18900</v>
      </c>
      <c r="E9" s="3">
        <v>189</v>
      </c>
      <c r="F9" s="31">
        <f>E9*ALT_INVOER!$B$7</f>
        <v>18900</v>
      </c>
      <c r="G9" s="7">
        <v>189</v>
      </c>
      <c r="H9" s="6">
        <f>G9*ALT_INVOER!$B$7</f>
        <v>18900</v>
      </c>
      <c r="J9" s="29">
        <v>18900</v>
      </c>
      <c r="K9" s="102"/>
    </row>
    <row r="10" spans="2:11" x14ac:dyDescent="0.25">
      <c r="B10" s="3" t="s">
        <v>18</v>
      </c>
      <c r="C10" s="3">
        <v>16</v>
      </c>
      <c r="D10" s="29">
        <f>IF('RESULTAAT &amp; SIMULATIE'!J20=LIJSTJES!B2,ALT_BEREKENING!C10*'RESULTAAT &amp; SIMULATIE'!N20,0)*ALT_INVOER!B7</f>
        <v>0</v>
      </c>
      <c r="E10" s="3">
        <v>16</v>
      </c>
      <c r="F10" s="31">
        <f>IF('RESULTAAT &amp; SIMULATIE'!J20=LIJSTJES!B2,ALT_BEREKENING!C10*'RESULTAAT &amp; SIMULATIE'!N20,0)*ALT_INVOER!B7</f>
        <v>0</v>
      </c>
      <c r="G10" s="7">
        <v>16</v>
      </c>
      <c r="H10" s="6">
        <f>IF('RESULTAAT &amp; SIMULATIE'!J20=LIJSTJES!B2,ALT_BEREKENING!C10*'RESULTAAT &amp; SIMULATIE'!N20,0)*ALT_INVOER!B7</f>
        <v>0</v>
      </c>
      <c r="J10" s="29">
        <v>8800</v>
      </c>
      <c r="K10" s="102"/>
    </row>
    <row r="11" spans="2:11" x14ac:dyDescent="0.25">
      <c r="B11" s="3" t="s">
        <v>17</v>
      </c>
      <c r="C11" s="3">
        <v>12</v>
      </c>
      <c r="D11" s="29">
        <f>IF('RESULTAAT &amp; SIMULATIE'!J20=LIJSTJES!B3,ALT_BEREKENING!C11*'RESULTAAT &amp; SIMULATIE'!N20,IF('RESULTAAT &amp; SIMULATIE'!J20=LIJSTJES!B4,ALT_BEREKENING!C11*'RESULTAAT &amp; SIMULATIE'!N20,0)*ALT_INVOER!B7)</f>
        <v>66</v>
      </c>
      <c r="E11" s="3">
        <v>12</v>
      </c>
      <c r="F11" s="31">
        <f>IF('RESULTAAT &amp; SIMULATIE'!J20=LIJSTJES!B3,ALT_BEREKENING!C11*'RESULTAAT &amp; SIMULATIE'!N20,IF('RESULTAAT &amp; SIMULATIE'!J20=LIJSTJES!B4,ALT_BEREKENING!C11*'RESULTAAT &amp; SIMULATIE'!N20,0)*ALT_INVOER!B7)</f>
        <v>66</v>
      </c>
      <c r="G11" s="7">
        <v>12</v>
      </c>
      <c r="H11" s="6">
        <f>IF('RESULTAAT &amp; SIMULATIE'!J20=LIJSTJES!B3,ALT_BEREKENING!C11*'RESULTAAT &amp; SIMULATIE'!N20,IF('RESULTAAT &amp; SIMULATIE'!J20=LIJSTJES!B4,ALT_BEREKENING!C11*'RESULTAAT &amp; SIMULATIE'!N20,0)*ALT_INVOER!B7)</f>
        <v>66</v>
      </c>
      <c r="J11" s="29">
        <v>0</v>
      </c>
      <c r="K11" s="102"/>
    </row>
    <row r="12" spans="2:11" x14ac:dyDescent="0.25">
      <c r="B12" s="3" t="s">
        <v>31</v>
      </c>
      <c r="C12" s="18">
        <v>131</v>
      </c>
      <c r="D12" s="28">
        <f>C12*ALT_INVOER!$B$7</f>
        <v>13100</v>
      </c>
      <c r="E12" s="18">
        <v>111</v>
      </c>
      <c r="F12" s="31">
        <f>E12*ALT_INVOER!$B$7</f>
        <v>11100</v>
      </c>
      <c r="G12" s="4">
        <v>91</v>
      </c>
      <c r="H12" s="6">
        <f>G12*ALT_INVOER!$B$7</f>
        <v>9100</v>
      </c>
      <c r="J12" s="28">
        <v>13100</v>
      </c>
      <c r="K12" s="102"/>
    </row>
    <row r="13" spans="2:11" ht="15.75" thickBot="1" x14ac:dyDescent="0.3">
      <c r="B13" s="35" t="s">
        <v>32</v>
      </c>
      <c r="C13" s="36">
        <f>(660+330)*365*$C$33/1000</f>
        <v>130.989375</v>
      </c>
      <c r="D13" s="37">
        <f>C13*ALT_INVOER!$B$7</f>
        <v>13098.9375</v>
      </c>
      <c r="E13" s="36">
        <f>(560+280)*365*$C$33/1000</f>
        <v>111.1425</v>
      </c>
      <c r="F13" s="38">
        <f>E13*ALT_INVOER!B$7</f>
        <v>11114.25</v>
      </c>
      <c r="G13" s="39">
        <f>(460+230)*365*$C$33/1000</f>
        <v>91.295625000000001</v>
      </c>
      <c r="H13" s="40">
        <f>G13*ALT_INVOER!B$7</f>
        <v>9129.5625</v>
      </c>
      <c r="I13" s="41"/>
      <c r="J13" s="37">
        <v>13098.9375</v>
      </c>
      <c r="K13" s="102"/>
    </row>
    <row r="14" spans="2:11" x14ac:dyDescent="0.25">
      <c r="B14" s="42" t="s">
        <v>33</v>
      </c>
      <c r="C14" s="43"/>
      <c r="D14" s="44">
        <f>SUM(D5:D12)</f>
        <v>593187.37928535219</v>
      </c>
      <c r="E14" s="43"/>
      <c r="F14" s="45">
        <f>SUM(F5:F12)</f>
        <v>564053.84817820333</v>
      </c>
      <c r="G14" s="46"/>
      <c r="H14" s="47">
        <f>SUM(H5:H12)</f>
        <v>533668.11036721151</v>
      </c>
      <c r="J14" s="44">
        <v>634216.27053542144</v>
      </c>
      <c r="K14" s="102"/>
    </row>
    <row r="15" spans="2:11" ht="15.75" thickBot="1" x14ac:dyDescent="0.3">
      <c r="B15" s="48" t="s">
        <v>33</v>
      </c>
      <c r="C15" s="49"/>
      <c r="D15" s="50">
        <f>SUM(D5:D11,D13)</f>
        <v>593186.31678535219</v>
      </c>
      <c r="E15" s="49"/>
      <c r="F15" s="51">
        <f>SUM(F5:F11,F13)</f>
        <v>564068.09817820333</v>
      </c>
      <c r="G15" s="52"/>
      <c r="H15" s="53">
        <f>SUM(H5:H11,H13)</f>
        <v>533697.67286721151</v>
      </c>
      <c r="I15" s="41"/>
      <c r="J15" s="50">
        <v>634215.20803542144</v>
      </c>
      <c r="K15" s="102"/>
    </row>
    <row r="16" spans="2:11" x14ac:dyDescent="0.25">
      <c r="B16" s="3" t="s">
        <v>22</v>
      </c>
      <c r="C16" s="3"/>
      <c r="D16" s="29"/>
      <c r="E16" s="3"/>
      <c r="F16" s="31"/>
      <c r="G16" s="7"/>
      <c r="H16" s="6"/>
      <c r="J16" s="29"/>
      <c r="K16" s="102"/>
    </row>
    <row r="17" spans="2:11" x14ac:dyDescent="0.25">
      <c r="B17" s="3" t="s">
        <v>19</v>
      </c>
      <c r="C17" s="18">
        <f>1412</f>
        <v>1412</v>
      </c>
      <c r="D17" s="29">
        <f>C17*ALT_INVOER!$B$13</f>
        <v>56480</v>
      </c>
      <c r="E17" s="3">
        <v>1200</v>
      </c>
      <c r="F17" s="31">
        <f>E17*ALT_INVOER!$B$13</f>
        <v>48000</v>
      </c>
      <c r="G17" s="7">
        <v>988</v>
      </c>
      <c r="H17" s="6">
        <f>G17*ALT_INVOER!$B$13</f>
        <v>39520</v>
      </c>
      <c r="J17" s="29">
        <v>56480</v>
      </c>
      <c r="K17" s="102"/>
    </row>
    <row r="18" spans="2:11" thickBot="1" x14ac:dyDescent="0.35">
      <c r="B18" s="3" t="s">
        <v>20</v>
      </c>
      <c r="C18" s="3">
        <v>2600</v>
      </c>
      <c r="D18" s="29">
        <f>C18*ALT_INVOER!$B$15</f>
        <v>84500</v>
      </c>
      <c r="E18" s="3">
        <v>2210</v>
      </c>
      <c r="F18" s="32">
        <f>E18*ALT_INVOER!$B$15</f>
        <v>71825</v>
      </c>
      <c r="G18" s="7">
        <v>1820</v>
      </c>
      <c r="H18" s="34">
        <f>G18*ALT_INVOER!$B$15</f>
        <v>59150</v>
      </c>
      <c r="J18" s="29">
        <v>83200</v>
      </c>
      <c r="K18" s="102"/>
    </row>
    <row r="19" spans="2:11" thickBot="1" x14ac:dyDescent="0.35">
      <c r="B19" s="2" t="s">
        <v>23</v>
      </c>
      <c r="C19" s="19"/>
      <c r="D19" s="30">
        <f>SUM(D17:D18)</f>
        <v>140980</v>
      </c>
      <c r="E19" s="19"/>
      <c r="F19" s="8">
        <f>SUM(F17:F18)</f>
        <v>119825</v>
      </c>
      <c r="G19" s="19"/>
      <c r="H19" s="9">
        <f>SUM(H17:H18)</f>
        <v>98670</v>
      </c>
      <c r="J19" s="30">
        <v>139680</v>
      </c>
      <c r="K19" s="102"/>
    </row>
    <row r="20" spans="2:11" ht="14.45" x14ac:dyDescent="0.3">
      <c r="B20" s="21" t="s">
        <v>24</v>
      </c>
      <c r="C20" s="18"/>
      <c r="D20" s="28">
        <f>SUM(D14,D19)</f>
        <v>734167.37928535219</v>
      </c>
      <c r="E20" s="3"/>
      <c r="F20" s="5">
        <f>SUM(F14,F19)</f>
        <v>683878.84817820333</v>
      </c>
      <c r="G20" s="3"/>
      <c r="H20" s="6">
        <f>SUM(H14,H19)</f>
        <v>632338.11036721151</v>
      </c>
      <c r="J20" s="28">
        <v>773896.27053542144</v>
      </c>
      <c r="K20" s="102"/>
    </row>
    <row r="21" spans="2:11" thickBot="1" x14ac:dyDescent="0.35">
      <c r="B21" s="26"/>
      <c r="C21" s="18"/>
      <c r="D21" s="28"/>
      <c r="E21" s="3"/>
      <c r="F21" s="5"/>
      <c r="G21" s="3"/>
      <c r="H21" s="27"/>
      <c r="J21" s="28"/>
      <c r="K21" s="102"/>
    </row>
    <row r="22" spans="2:11" thickBot="1" x14ac:dyDescent="0.35">
      <c r="B22" s="22" t="s">
        <v>25</v>
      </c>
      <c r="C22" s="19"/>
      <c r="D22" s="30">
        <f>SUM(D14,D19)*1.02</f>
        <v>748850.72687105928</v>
      </c>
      <c r="E22" s="20"/>
      <c r="F22" s="8">
        <f>SUM(F14,F19)*1.02</f>
        <v>697556.42514176737</v>
      </c>
      <c r="G22" s="20"/>
      <c r="H22" s="9">
        <f>SUM(H14,H19)*1.02</f>
        <v>644984.8725745558</v>
      </c>
      <c r="J22" s="30">
        <v>789374.19594612985</v>
      </c>
      <c r="K22" s="102"/>
    </row>
    <row r="24" spans="2:11" ht="14.45" x14ac:dyDescent="0.3">
      <c r="B24" s="67" t="s">
        <v>61</v>
      </c>
      <c r="C24" s="71"/>
    </row>
    <row r="25" spans="2:11" ht="14.45" x14ac:dyDescent="0.3">
      <c r="B25" s="65" t="s">
        <v>58</v>
      </c>
      <c r="C25" s="69">
        <v>600</v>
      </c>
    </row>
    <row r="26" spans="2:11" ht="14.45" x14ac:dyDescent="0.3">
      <c r="B26" s="65" t="s">
        <v>59</v>
      </c>
      <c r="C26" s="69">
        <v>500</v>
      </c>
    </row>
    <row r="27" spans="2:11" ht="14.45" x14ac:dyDescent="0.3">
      <c r="B27" s="65" t="s">
        <v>60</v>
      </c>
      <c r="C27" s="69">
        <v>400</v>
      </c>
    </row>
    <row r="28" spans="2:11" ht="14.45" x14ac:dyDescent="0.3">
      <c r="B28" s="65" t="s">
        <v>53</v>
      </c>
      <c r="C28" s="69">
        <v>1</v>
      </c>
    </row>
    <row r="29" spans="2:11" ht="14.45" x14ac:dyDescent="0.3">
      <c r="B29" s="65" t="s">
        <v>54</v>
      </c>
      <c r="C29" s="72">
        <f>44/600</f>
        <v>7.3333333333333334E-2</v>
      </c>
    </row>
    <row r="30" spans="2:11" x14ac:dyDescent="0.25">
      <c r="B30" s="65" t="s">
        <v>55</v>
      </c>
      <c r="C30" s="72">
        <f>320/600</f>
        <v>0.53333333333333333</v>
      </c>
    </row>
    <row r="31" spans="2:11" x14ac:dyDescent="0.25">
      <c r="B31" s="65" t="s">
        <v>56</v>
      </c>
      <c r="C31" s="72">
        <f>530/600</f>
        <v>0.8833333333333333</v>
      </c>
    </row>
    <row r="32" spans="2:11" x14ac:dyDescent="0.25">
      <c r="B32" s="65" t="s">
        <v>28</v>
      </c>
      <c r="C32" s="69">
        <v>0.65</v>
      </c>
    </row>
    <row r="33" spans="2:8" x14ac:dyDescent="0.25">
      <c r="B33" s="65" t="s">
        <v>27</v>
      </c>
      <c r="C33" s="69">
        <v>0.36249999999999999</v>
      </c>
    </row>
    <row r="34" spans="2:8" x14ac:dyDescent="0.25">
      <c r="B34" s="66" t="s">
        <v>29</v>
      </c>
      <c r="C34" s="70">
        <v>0.63</v>
      </c>
    </row>
    <row r="36" spans="2:8" x14ac:dyDescent="0.25">
      <c r="B36" s="67" t="s">
        <v>50</v>
      </c>
      <c r="C36" s="68" t="s">
        <v>48</v>
      </c>
      <c r="D36" s="68" t="s">
        <v>49</v>
      </c>
    </row>
    <row r="37" spans="2:8" x14ac:dyDescent="0.25">
      <c r="B37" s="65" t="s">
        <v>36</v>
      </c>
      <c r="C37" s="80">
        <f>6.38</f>
        <v>6.38</v>
      </c>
      <c r="D37" s="81">
        <v>0.97</v>
      </c>
    </row>
    <row r="38" spans="2:8" x14ac:dyDescent="0.25">
      <c r="B38" s="65" t="s">
        <v>44</v>
      </c>
      <c r="C38" s="69">
        <v>29.4</v>
      </c>
      <c r="D38" s="82">
        <v>8</v>
      </c>
    </row>
    <row r="39" spans="2:8" x14ac:dyDescent="0.25">
      <c r="B39" s="65" t="s">
        <v>45</v>
      </c>
      <c r="C39" s="69">
        <v>24.1</v>
      </c>
      <c r="D39" s="69">
        <v>7.4</v>
      </c>
    </row>
    <row r="40" spans="2:8" x14ac:dyDescent="0.25">
      <c r="B40" s="65" t="s">
        <v>46</v>
      </c>
      <c r="C40" s="69">
        <v>23.1</v>
      </c>
      <c r="D40" s="69">
        <v>7.4</v>
      </c>
    </row>
    <row r="41" spans="2:8" x14ac:dyDescent="0.25">
      <c r="B41" s="66" t="s">
        <v>47</v>
      </c>
      <c r="C41" s="70">
        <v>22.5</v>
      </c>
      <c r="D41" s="70">
        <v>7.4</v>
      </c>
    </row>
    <row r="43" spans="2:8" x14ac:dyDescent="0.25">
      <c r="C43" s="14" t="s">
        <v>57</v>
      </c>
      <c r="D43" s="15"/>
      <c r="E43" s="14" t="s">
        <v>11</v>
      </c>
      <c r="F43" s="15"/>
      <c r="G43" s="14" t="s">
        <v>12</v>
      </c>
      <c r="H43" s="16"/>
    </row>
    <row r="44" spans="2:8" x14ac:dyDescent="0.25">
      <c r="B44" s="55" t="s">
        <v>51</v>
      </c>
      <c r="C44" s="61" t="s">
        <v>34</v>
      </c>
      <c r="D44" s="57" t="s">
        <v>35</v>
      </c>
      <c r="E44" s="61" t="s">
        <v>34</v>
      </c>
      <c r="F44" s="57" t="s">
        <v>35</v>
      </c>
      <c r="G44" s="61" t="s">
        <v>34</v>
      </c>
      <c r="H44" s="57" t="s">
        <v>35</v>
      </c>
    </row>
    <row r="45" spans="2:8" x14ac:dyDescent="0.25">
      <c r="B45" s="55" t="s">
        <v>40</v>
      </c>
      <c r="C45" s="63">
        <f>(ALT_BEREKENING!C$25*$C$29*$C$38)/1000</f>
        <v>1.2935999999999999</v>
      </c>
      <c r="D45" s="64">
        <f>(ALT_BEREKENING!$C$25*$C$29*$D$38)/1000</f>
        <v>0.35199999999999998</v>
      </c>
      <c r="E45" s="63">
        <f>(ALT_BEREKENING!C$26*$C$29*$C$38)/1000</f>
        <v>1.0779999999999998</v>
      </c>
      <c r="F45" s="64">
        <f>(ALT_BEREKENING!$C$26*$C$29*$D$38)/1000</f>
        <v>0.29333333333333333</v>
      </c>
      <c r="G45" s="63">
        <f>(ALT_BEREKENING!C$27*$C$29*$C$38)/1000</f>
        <v>0.86239999999999994</v>
      </c>
      <c r="H45" s="64">
        <f>(ALT_BEREKENING!$C$27*$C$29*$D$38)/1000</f>
        <v>0.23466666666666666</v>
      </c>
    </row>
    <row r="46" spans="2:8" x14ac:dyDescent="0.25">
      <c r="B46" s="3" t="s">
        <v>41</v>
      </c>
      <c r="C46" s="25">
        <f>(ALT_BEREKENING!C$25*$C$30*$C$39)/1000</f>
        <v>7.7119999999999997</v>
      </c>
      <c r="D46" s="62">
        <f>(ALT_BEREKENING!C$25*$C$30*$D$39)/1000</f>
        <v>2.3679999999999999</v>
      </c>
      <c r="E46" s="25">
        <f>(ALT_BEREKENING!C$26*$C$30*$C$39)/1000</f>
        <v>6.4266666666666676</v>
      </c>
      <c r="F46" s="62">
        <f>(ALT_BEREKENING!C$26*$C$30*$D$39)/1000</f>
        <v>1.9733333333333334</v>
      </c>
      <c r="G46" s="25">
        <f>(ALT_BEREKENING!C$27*$C$30*$C$39)/1000</f>
        <v>5.1413333333333338</v>
      </c>
      <c r="H46" s="62">
        <f>(ALT_BEREKENING!C$27*$C$30*$D$39)/1000</f>
        <v>1.5786666666666667</v>
      </c>
    </row>
    <row r="47" spans="2:8" x14ac:dyDescent="0.25">
      <c r="B47" s="3" t="s">
        <v>42</v>
      </c>
      <c r="C47" s="25">
        <f>($C$29*ALT_BEREKENING!C$25*$C$34*$C$38)/1000</f>
        <v>0.81496799999999991</v>
      </c>
      <c r="D47" s="62">
        <f>($C$29*ALT_BEREKENING!C$25*$C$34*$D$38)/1000</f>
        <v>0.22175999999999998</v>
      </c>
      <c r="E47" s="25">
        <f>($C$29*ALT_BEREKENING!C$26*$C$34*$C$38)/1000</f>
        <v>0.67913999999999985</v>
      </c>
      <c r="F47" s="62">
        <f>($C$29*ALT_BEREKENING!C$26*$C$34*$D$38)/1000</f>
        <v>0.18479999999999999</v>
      </c>
      <c r="G47" s="25">
        <f>($C$29*ALT_BEREKENING!C$27*$C$34*$C$38)/1000</f>
        <v>0.54331200000000002</v>
      </c>
      <c r="H47" s="62">
        <f>($C$29*ALT_BEREKENING!C$27*$C$34*$D$38)/1000</f>
        <v>0.14784</v>
      </c>
    </row>
    <row r="48" spans="2:8" x14ac:dyDescent="0.25">
      <c r="B48" s="24" t="s">
        <v>43</v>
      </c>
      <c r="C48" s="60">
        <f>($C$31*ALT_BEREKENING!$C$25*$C$40)/1000</f>
        <v>12.243</v>
      </c>
      <c r="D48" s="59">
        <f>($C$31*ALT_BEREKENING!$C$25*$D$40)/1000</f>
        <v>3.9220000000000002</v>
      </c>
      <c r="E48" s="60">
        <f>($C$31*ALT_BEREKENING!$C$26*$C$40)/1000</f>
        <v>10.202500000000001</v>
      </c>
      <c r="F48" s="59">
        <f>($C$31*ALT_BEREKENING!$C$26*$D$40)/1000</f>
        <v>3.2683333333333331</v>
      </c>
      <c r="G48" s="60">
        <f>($C$31*ALT_BEREKENING!$C$27*$C$40)/1000</f>
        <v>8.1620000000000008</v>
      </c>
      <c r="H48" s="59">
        <f>($C$31*ALT_BEREKENING!$C$27*$D$40)/1000</f>
        <v>2.6146666666666665</v>
      </c>
    </row>
    <row r="50" spans="2:11" x14ac:dyDescent="0.25">
      <c r="C50" s="14" t="s">
        <v>57</v>
      </c>
      <c r="D50" s="15"/>
      <c r="E50" s="14" t="s">
        <v>11</v>
      </c>
      <c r="F50" s="15"/>
      <c r="G50" s="14" t="s">
        <v>12</v>
      </c>
      <c r="H50" s="16"/>
    </row>
    <row r="51" spans="2:11" x14ac:dyDescent="0.25">
      <c r="B51" s="14" t="s">
        <v>52</v>
      </c>
      <c r="C51" s="73" t="s">
        <v>34</v>
      </c>
      <c r="D51" s="74" t="s">
        <v>35</v>
      </c>
      <c r="E51" s="73" t="s">
        <v>34</v>
      </c>
      <c r="F51" s="74" t="s">
        <v>35</v>
      </c>
      <c r="G51" s="73" t="s">
        <v>34</v>
      </c>
      <c r="H51" s="74" t="s">
        <v>35</v>
      </c>
    </row>
    <row r="52" spans="2:11" x14ac:dyDescent="0.25">
      <c r="B52" s="3" t="s">
        <v>36</v>
      </c>
      <c r="C52" s="58">
        <f>(ALT_INVOER!B8*ALT_INVOER!B10*10*ALT_INVOER!B7)/ALT_BEREKENING!C37/1000</f>
        <v>4040.3605015673984</v>
      </c>
      <c r="D52" s="56">
        <f>ALT_INVOER!B8*ALT_INVOER!B7*ALT_BEREKENING!D37/1000</f>
        <v>714.40499999999997</v>
      </c>
      <c r="E52" s="76">
        <f>C52</f>
        <v>4040.3605015673984</v>
      </c>
      <c r="F52" s="76">
        <f>D52</f>
        <v>714.40499999999997</v>
      </c>
      <c r="G52" s="77">
        <f>C52</f>
        <v>4040.3605015673984</v>
      </c>
      <c r="H52" s="78">
        <f>D52</f>
        <v>714.40499999999997</v>
      </c>
    </row>
    <row r="53" spans="2:11" x14ac:dyDescent="0.25">
      <c r="B53" s="3" t="s">
        <v>37</v>
      </c>
      <c r="C53" s="58">
        <f>($C$29*ALT_BEREKENING!$C$25*$C$32*ALT_INVOER!$B$7*$C$38)/1000</f>
        <v>84.084000000000003</v>
      </c>
      <c r="D53" s="56">
        <f>($C$29*ALT_BEREKENING!$C$25*$C$32*ALT_INVOER!$B$7*$D$38)/1000</f>
        <v>22.88</v>
      </c>
      <c r="E53" s="58">
        <f>($C$29*ALT_BEREKENING!$C$26*$C$32*ALT_INVOER!$B$7*$C$38)/1000</f>
        <v>70.069999999999979</v>
      </c>
      <c r="F53" s="56">
        <f>($C$29*ALT_BEREKENING!$C$26*$C$32*ALT_INVOER!$B$7*$D$38)/1000</f>
        <v>19.066666666666663</v>
      </c>
      <c r="G53" s="58">
        <f>($C$29*ALT_BEREKENING!$C$27*$C$32*ALT_INVOER!$B$7*$C$38)/1000</f>
        <v>56.055999999999997</v>
      </c>
      <c r="H53" s="56">
        <f>($C$29*ALT_BEREKENING!$C$27*$C$32*ALT_INVOER!$B$7*$D$38)/1000</f>
        <v>15.253333333333334</v>
      </c>
      <c r="J53" s="1"/>
      <c r="K53" s="1"/>
    </row>
    <row r="54" spans="2:11" x14ac:dyDescent="0.25">
      <c r="B54" s="3" t="s">
        <v>30</v>
      </c>
      <c r="C54" s="58">
        <f>(((ALT_BEREKENING!$C$25*$C$33*$C$41)/1000)-(($C$31*ALT_BEREKENING!$C$25*$C$33*$C$40)/1000))*ALT_INVOER!$B$7</f>
        <v>45.566249999999897</v>
      </c>
      <c r="D54" s="56">
        <f>(((ALT_BEREKENING!$C$25*$C$33*$D$41)/1000)-(($C$31*ALT_BEREKENING!$C$25*$C$33*$D$40)/1000))*ALT_INVOER!$B$7</f>
        <v>18.777499999999982</v>
      </c>
      <c r="E54" s="58">
        <f>(((ALT_BEREKENING!$C$26*$C$33*$C$41)/1000)-(($C$31*ALT_BEREKENING!$C$26*$C$33*$C$40)/1000))*ALT_INVOER!$B$7</f>
        <v>37.97187499999999</v>
      </c>
      <c r="F54" s="56">
        <f>(((ALT_BEREKENING!$C$26*$C$33*$D$41)/1000)-(($C$31*ALT_BEREKENING!$C$26*$C$33*$D$40)/1000))*ALT_INVOER!$B$7</f>
        <v>15.647916666666672</v>
      </c>
      <c r="G54" s="58">
        <f>(((ALT_BEREKENING!$C$27*$C$33*$C$41)/1000)-(($C$31*ALT_BEREKENING!$C$27*$C$33*$C$40)/1000))*ALT_INVOER!$B$7</f>
        <v>30.377500000000033</v>
      </c>
      <c r="H54" s="56">
        <f>(((ALT_BEREKENING!$C$27*$C$33*$D$41)/1000)-(($C$31*ALT_BEREKENING!$C$27*$C$33*$D$40)/1000))*ALT_INVOER!$B$7</f>
        <v>12.518333333333331</v>
      </c>
      <c r="J54" s="1"/>
      <c r="K54" s="1"/>
    </row>
    <row r="55" spans="2:11" x14ac:dyDescent="0.25">
      <c r="B55" s="3" t="s">
        <v>38</v>
      </c>
      <c r="C55" s="58">
        <f>((ALT_BEREKENING!$C$25*$C$30*$C$39)/1000-(ALT_BEREKENING!$C$25*$C$29*$C$38)/1000)*ALT_INVOER!$B$13</f>
        <v>256.73599999999999</v>
      </c>
      <c r="D55" s="56">
        <f>((ALT_BEREKENING!$C$25*$C$30*$D$39)/1000-(ALT_BEREKENING!$C$25*$C$29*$D$38)/1000)*ALT_INVOER!$B$13</f>
        <v>80.64</v>
      </c>
      <c r="E55" s="58">
        <f>((ALT_BEREKENING!$C$26*$C$30*$C$39)/1000-(ALT_BEREKENING!$C$26*$C$29*$C$38)/1000)*ALT_INVOER!$B$13</f>
        <v>213.94666666666672</v>
      </c>
      <c r="F55" s="56">
        <f>((ALT_BEREKENING!$C$26*$C$30*$D$39)/1000-(ALT_BEREKENING!$C$26*$C$29*$D$38)/1000)*ALT_INVOER!$B$13</f>
        <v>67.2</v>
      </c>
      <c r="G55" s="58">
        <f>((ALT_BEREKENING!$C$27*$C$30*$C$39)/1000-(ALT_BEREKENING!$C$27*$C$29*$C$38)/1000)*ALT_INVOER!$B$13</f>
        <v>171.15733333333336</v>
      </c>
      <c r="H55" s="56">
        <f>((ALT_BEREKENING!$C$27*$C$30*$D$39)/1000-(ALT_BEREKENING!$C$27*$C$29*$D$38)/1000)*ALT_INVOER!$B$13</f>
        <v>53.760000000000005</v>
      </c>
      <c r="J55" s="1"/>
      <c r="K55" s="1"/>
    </row>
    <row r="56" spans="2:11" ht="15.75" thickBot="1" x14ac:dyDescent="0.3">
      <c r="B56" s="24" t="s">
        <v>39</v>
      </c>
      <c r="C56" s="58">
        <f>(($C$31*ALT_BEREKENING!$C$25*$C$40)/1000+($C$29*ALT_BEREKENING!$C$25*$C$34*$C$38)/1000-(ALT_BEREKENING!$C$25*$C$30*$C$39)/1000)*ALT_INVOER!$B$15</f>
        <v>173.74396000000004</v>
      </c>
      <c r="D56" s="56">
        <f>(($C$31*ALT_BEREKENING!$C$25*$D$40)/1000+($C$29*ALT_BEREKENING!$C$25*$C$34*$D$38)/1000-(ALT_BEREKENING!$C$25*$C$30*$D$39)/1000)*ALT_INVOER!$B$15</f>
        <v>57.712200000000017</v>
      </c>
      <c r="E56" s="58">
        <f>(($C$31*ALT_BEREKENING!$C$26*$C$40)/1000+($C$29*ALT_BEREKENING!$C$26*$C$34*$C$38)/1000-(ALT_BEREKENING!$C$26*$C$30*$C$39)/1000)*ALT_INVOER!$B$15</f>
        <v>144.78663333333333</v>
      </c>
      <c r="F56" s="56">
        <f>(($C$31*ALT_BEREKENING!$C$26*$D$40)/1000+($C$29*ALT_BEREKENING!$C$26*$C$34*$D$38)/1000-(ALT_BEREKENING!$C$26*$C$30*$D$39)/1000)*ALT_INVOER!$B$15</f>
        <v>48.093499999999992</v>
      </c>
      <c r="G56" s="58">
        <f>(($C$31*ALT_BEREKENING!$C$27*$C$40)/1000+($C$29*ALT_BEREKENING!$C$27*$C$34*$C$38)/1000-(ALT_BEREKENING!$C$27*$C$30*$C$39)/1000)*ALT_INVOER!$B$15</f>
        <v>115.82930666666668</v>
      </c>
      <c r="H56" s="56">
        <f>(($C$31*ALT_BEREKENING!$C$27*$D$40)/1000+($C$29*ALT_BEREKENING!$C$27*$C$34*$D$38)/1000-(ALT_BEREKENING!$C$27*$C$30*$D$39)/1000)*ALT_INVOER!$B$15</f>
        <v>38.474799999999995</v>
      </c>
      <c r="J56" s="1"/>
      <c r="K56" s="1"/>
    </row>
    <row r="57" spans="2:11" ht="15.75" thickBot="1" x14ac:dyDescent="0.3">
      <c r="C57" s="54">
        <f>SUM(C52:C56)</f>
        <v>4600.4907115673977</v>
      </c>
      <c r="D57" s="75">
        <f>SUM(D52:D56)</f>
        <v>894.41470000000004</v>
      </c>
      <c r="E57" s="54">
        <f t="shared" ref="E57:H57" si="0">SUM(E52:E56)</f>
        <v>4507.1356765673981</v>
      </c>
      <c r="F57" s="75">
        <f t="shared" si="0"/>
        <v>864.41308333333325</v>
      </c>
      <c r="G57" s="79">
        <f t="shared" si="0"/>
        <v>4413.7806415673977</v>
      </c>
      <c r="H57" s="75">
        <f t="shared" si="0"/>
        <v>834.41146666666657</v>
      </c>
    </row>
    <row r="58" spans="2:11" x14ac:dyDescent="0.25">
      <c r="C58" s="23"/>
    </row>
    <row r="59" spans="2:11" s="170" customFormat="1" x14ac:dyDescent="0.25">
      <c r="B59" s="210" t="s">
        <v>192</v>
      </c>
    </row>
    <row r="60" spans="2:11" s="83" customFormat="1" ht="12.6" customHeight="1" x14ac:dyDescent="0.2">
      <c r="B60" s="158"/>
      <c r="C60" s="88" t="s">
        <v>176</v>
      </c>
      <c r="D60" s="88" t="s">
        <v>35</v>
      </c>
      <c r="E60" s="95" t="s">
        <v>34</v>
      </c>
      <c r="H60" s="86"/>
      <c r="I60" s="87"/>
      <c r="J60" s="87"/>
    </row>
    <row r="61" spans="2:11" s="83" customFormat="1" ht="12.75" x14ac:dyDescent="0.2">
      <c r="B61" s="96" t="s">
        <v>193</v>
      </c>
      <c r="C61" s="86">
        <f>ALT_INVOER!S45/1000</f>
        <v>232458</v>
      </c>
      <c r="D61" s="86">
        <f>ALT_INVOER!T45/1000</f>
        <v>1555.33</v>
      </c>
      <c r="E61" s="86">
        <f>ALT_INVOER!U45/1000/6.25</f>
        <v>9273.69</v>
      </c>
      <c r="F61" s="86">
        <f>ALT_INVOER!V45</f>
        <v>219650</v>
      </c>
      <c r="G61" s="86">
        <f>IF(ALT_INVOER!$O45&gt;0,C61/ALT_INVOER!$O45*1000,0)</f>
        <v>1058.3109492374233</v>
      </c>
      <c r="H61" s="87">
        <f>IF(ALT_INVOER!$O45&gt;0,D61/ALT_INVOER!$O45*1000,0)</f>
        <v>7.0809469610744369</v>
      </c>
      <c r="I61" s="87">
        <f>IF(ALT_INVOER!$O45&gt;0,E61/ALT_INVOER!$O45*1000,0)</f>
        <v>42.220305030730707</v>
      </c>
      <c r="J61" s="87">
        <f>IF(H61&gt;0,I61/H61,0)</f>
        <v>5.9625224228941764</v>
      </c>
      <c r="K61" s="87">
        <f>IF(G61&gt;0,H61/G61*1000,0)</f>
        <v>6.6908000585051912</v>
      </c>
    </row>
    <row r="62" spans="2:11" s="83" customFormat="1" ht="12.75" x14ac:dyDescent="0.2">
      <c r="B62" s="96" t="s">
        <v>71</v>
      </c>
      <c r="C62" s="86">
        <f>ALT_INVOER!S54/1000</f>
        <v>180398.75</v>
      </c>
      <c r="D62" s="86">
        <f>ALT_INVOER!T54/1000</f>
        <v>865.91399999999999</v>
      </c>
      <c r="E62" s="86">
        <f>ALT_INVOER!U54/1000/6.25</f>
        <v>5772.76</v>
      </c>
      <c r="F62" s="86">
        <f>ALT_INVOER!V54</f>
        <v>206170</v>
      </c>
      <c r="G62" s="86">
        <f>IF(ALT_INVOER!$O54&gt;0,C62/ALT_INVOER!$O54*1000,0)</f>
        <v>875</v>
      </c>
      <c r="H62" s="87">
        <f>IF(ALT_INVOER!$O54&gt;0,D62/ALT_INVOER!$O54*1000,0)</f>
        <v>4.2</v>
      </c>
      <c r="I62" s="87">
        <f>IF(ALT_INVOER!$O54&gt;0,E62/ALT_INVOER!$O54*1000,0)</f>
        <v>28</v>
      </c>
      <c r="J62" s="87">
        <f>IF(H62&gt;0,I62/H62,0)</f>
        <v>6.6666666666666661</v>
      </c>
      <c r="K62" s="87">
        <f>IF(G62&gt;0,H62/G62*1000,0)</f>
        <v>4.8000000000000007</v>
      </c>
    </row>
    <row r="63" spans="2:11" s="83" customFormat="1" ht="12.75" x14ac:dyDescent="0.2">
      <c r="B63" s="96" t="s">
        <v>82</v>
      </c>
      <c r="C63" s="86">
        <f>ALT_INVOER!S63/1000</f>
        <v>247268.6875</v>
      </c>
      <c r="D63" s="86">
        <f>ALT_INVOER!T63/1000</f>
        <v>534.63499999999999</v>
      </c>
      <c r="E63" s="86">
        <f>ALT_INVOER!U63/1000/6.25</f>
        <v>3341.46875</v>
      </c>
      <c r="F63" s="86">
        <f>ALT_INVOER!V63</f>
        <v>267317.5</v>
      </c>
      <c r="G63" s="86">
        <f>IF(ALT_INVOER!$O63&gt;0,C63/ALT_INVOER!$O63*1000,0)</f>
        <v>925</v>
      </c>
      <c r="H63" s="87">
        <f>IF(ALT_INVOER!$O63&gt;0,D63/ALT_INVOER!$O63*1000,0)</f>
        <v>2</v>
      </c>
      <c r="I63" s="87">
        <f>IF(ALT_INVOER!$O63&gt;0,E63/ALT_INVOER!$O63*1000,0)</f>
        <v>12.5</v>
      </c>
      <c r="J63" s="87">
        <f>IF(H63&gt;0,I63/H63,0)</f>
        <v>6.25</v>
      </c>
      <c r="K63" s="87">
        <f>IF(G63&gt;0,H63/G63*1000,0)</f>
        <v>2.1621621621621623</v>
      </c>
    </row>
    <row r="64" spans="2:11" s="83" customFormat="1" ht="12.75" x14ac:dyDescent="0.2">
      <c r="B64" s="96" t="s">
        <v>175</v>
      </c>
      <c r="C64" s="86">
        <f>ALT_INVOER!S72/1000</f>
        <v>0</v>
      </c>
      <c r="D64" s="86">
        <f>ALT_INVOER!T72/1000</f>
        <v>0</v>
      </c>
      <c r="E64" s="86">
        <f>ALT_INVOER!U72/1000/6.25</f>
        <v>0</v>
      </c>
      <c r="F64" s="86">
        <f>ALT_INVOER!V72</f>
        <v>0</v>
      </c>
      <c r="G64" s="86">
        <f>IF(ALT_INVOER!$O72&gt;0,C64/ALT_INVOER!$O72*1000,0)</f>
        <v>0</v>
      </c>
      <c r="H64" s="87">
        <f>IF(ALT_INVOER!$O72&gt;0,D64/ALT_INVOER!$O72*1000,0)</f>
        <v>0</v>
      </c>
      <c r="I64" s="87">
        <f>IF(ALT_INVOER!$O72&gt;0,E64/ALT_INVOER!$O72*1000,0)</f>
        <v>0</v>
      </c>
      <c r="J64" s="87">
        <f>IF(H64&gt;0,I64/H64,0)</f>
        <v>0</v>
      </c>
      <c r="K64" s="87">
        <f>IF(G64&gt;0,H64/G64*1000,0)</f>
        <v>0</v>
      </c>
    </row>
    <row r="65" spans="2:13" s="83" customFormat="1" ht="12.75" x14ac:dyDescent="0.2">
      <c r="B65" s="158"/>
      <c r="D65" s="84"/>
      <c r="E65" s="87"/>
      <c r="H65" s="86"/>
      <c r="I65" s="87"/>
      <c r="J65" s="87"/>
    </row>
    <row r="66" spans="2:13" s="83" customFormat="1" ht="12.75" x14ac:dyDescent="0.2">
      <c r="B66" s="158"/>
      <c r="D66" s="84"/>
      <c r="E66" s="87"/>
      <c r="H66" s="86"/>
      <c r="I66" s="87"/>
      <c r="J66" s="87"/>
    </row>
    <row r="67" spans="2:13" s="83" customFormat="1" ht="12.75" x14ac:dyDescent="0.2">
      <c r="B67" s="158"/>
      <c r="D67" s="84"/>
      <c r="E67" s="87"/>
      <c r="H67" s="86"/>
      <c r="I67" s="87"/>
      <c r="J67" s="87"/>
    </row>
    <row r="68" spans="2:13" s="83" customFormat="1" ht="12.75" x14ac:dyDescent="0.2">
      <c r="B68" s="158"/>
      <c r="D68" s="84"/>
      <c r="E68" s="87"/>
      <c r="H68" s="86"/>
      <c r="I68" s="87"/>
      <c r="J68" s="87"/>
    </row>
    <row r="69" spans="2:13" s="83" customFormat="1" ht="12.75" x14ac:dyDescent="0.2">
      <c r="B69" s="158"/>
      <c r="D69" s="84"/>
      <c r="E69" s="87"/>
      <c r="H69" s="86"/>
      <c r="I69" s="87"/>
      <c r="J69" s="87"/>
    </row>
    <row r="70" spans="2:13" x14ac:dyDescent="0.25">
      <c r="B70" s="99" t="s">
        <v>70</v>
      </c>
    </row>
    <row r="71" spans="2:13" x14ac:dyDescent="0.25">
      <c r="B71" s="101">
        <f>IF('RESULTAAT &amp; SIMULATIE'!J20=LIJSTJES!B2,0.6,IF('RESULTAAT &amp; SIMULATIE'!J20=LIJSTJES!B3,0.8,IF('RESULTAAT &amp; SIMULATIE'!J20=LIJSTJES!B5,1,IF('RESULTAAT &amp; SIMULATIE'!J20=LIJSTJES!B6,0.65,IF('RESULTAAT &amp; SIMULATIE'!J20=LIJSTJES!B4,0.8,0.825)))))</f>
        <v>0.8</v>
      </c>
    </row>
    <row r="73" spans="2:13" x14ac:dyDescent="0.25">
      <c r="B73" s="104" t="s">
        <v>74</v>
      </c>
      <c r="C73" s="136">
        <f>IF((SUM(ALT_BEREKENING!C62:C64))&gt;0,ALT_BEREKENING!C62/(SUM(ALT_BEREKENING!C62:C64)),0)</f>
        <v>0.42182016721813198</v>
      </c>
      <c r="D73" s="137"/>
      <c r="E73" s="138">
        <f>ALT_BEREKENING!C62/(SUM(ALT_BEREKENING!C62:C64))</f>
        <v>0.42182016721813198</v>
      </c>
    </row>
    <row r="74" spans="2:13" x14ac:dyDescent="0.25">
      <c r="B74" s="173" t="s">
        <v>183</v>
      </c>
      <c r="C74" s="175">
        <f>1-C73</f>
        <v>0.57817983278186802</v>
      </c>
      <c r="D74" s="139"/>
      <c r="E74" s="176">
        <f>1-E73</f>
        <v>0.57817983278186802</v>
      </c>
    </row>
    <row r="75" spans="2:13" x14ac:dyDescent="0.25">
      <c r="B75" s="24"/>
      <c r="C75" s="106"/>
      <c r="D75" s="106"/>
      <c r="E75" s="107"/>
    </row>
    <row r="76" spans="2:13" x14ac:dyDescent="0.25">
      <c r="B76" s="212" t="s">
        <v>75</v>
      </c>
    </row>
    <row r="77" spans="2:13" x14ac:dyDescent="0.25">
      <c r="B77" s="212" t="s">
        <v>76</v>
      </c>
      <c r="C77" s="130">
        <f>IF(B71&lt;1,B71+(1-B71)*(6-'RESULTAAT &amp; SIMULATIE'!N20)/6,1)</f>
        <v>0.81666666666666665</v>
      </c>
      <c r="E77" s="113" t="s">
        <v>114</v>
      </c>
      <c r="F77" s="157">
        <f>ALT_BEREKENING!C62/(ALT_BEREKENING!C62+ALT_BEREKENING!C95)</f>
        <v>0.65553930398476234</v>
      </c>
      <c r="I77" s="213"/>
      <c r="L77" s="102"/>
      <c r="M77" s="135"/>
    </row>
    <row r="78" spans="2:13" x14ac:dyDescent="0.25">
      <c r="B78" s="212" t="s">
        <v>93</v>
      </c>
      <c r="C78" s="130">
        <f>1-C77</f>
        <v>0.18333333333333335</v>
      </c>
      <c r="E78" s="114" t="s">
        <v>100</v>
      </c>
      <c r="F78" s="116">
        <f>1-F77</f>
        <v>0.34446069601523766</v>
      </c>
      <c r="L78" s="102"/>
    </row>
    <row r="79" spans="2:13" x14ac:dyDescent="0.25">
      <c r="E79" s="114"/>
      <c r="F79" s="115"/>
    </row>
    <row r="80" spans="2:13" x14ac:dyDescent="0.25">
      <c r="B80" s="212" t="s">
        <v>100</v>
      </c>
      <c r="C80" s="102">
        <f>IF(C78=0,0,1)</f>
        <v>1</v>
      </c>
      <c r="E80" s="114" t="s">
        <v>100</v>
      </c>
      <c r="F80" s="116">
        <f>IF(C78=0,0,1)</f>
        <v>1</v>
      </c>
      <c r="L80" s="23"/>
    </row>
    <row r="81" spans="1:13" x14ac:dyDescent="0.25">
      <c r="B81" s="212" t="s">
        <v>99</v>
      </c>
      <c r="C81" s="102">
        <f>IF(C78=0,C73,(1/C78)*C77)</f>
        <v>4.4545454545454541</v>
      </c>
      <c r="E81" s="114" t="s">
        <v>99</v>
      </c>
      <c r="F81" s="116">
        <f>IF(C78=0,C73,(1/F78)*F77)</f>
        <v>1.9030888329731637</v>
      </c>
      <c r="I81" s="135"/>
      <c r="L81" s="23"/>
    </row>
    <row r="82" spans="1:13" x14ac:dyDescent="0.25">
      <c r="B82" s="174" t="s">
        <v>178</v>
      </c>
      <c r="C82" s="179">
        <f>IF(C73=0,1,(C81/C73)*C74)</f>
        <v>6.1057496681908559</v>
      </c>
      <c r="E82" s="177" t="s">
        <v>178</v>
      </c>
      <c r="F82" s="178">
        <f>IF(C73=0,1,(F81/C73)*C74)</f>
        <v>2.6085229411244857</v>
      </c>
    </row>
    <row r="83" spans="1:13" x14ac:dyDescent="0.25">
      <c r="C83" s="102"/>
      <c r="D83" s="102"/>
      <c r="E83" s="114"/>
      <c r="F83" s="117"/>
      <c r="L83" s="102"/>
    </row>
    <row r="84" spans="1:13" x14ac:dyDescent="0.25">
      <c r="B84" s="212" t="s">
        <v>94</v>
      </c>
      <c r="C84" s="102">
        <f>(C80/(C$80+C$81+C$82))</f>
        <v>8.6502981920698663E-2</v>
      </c>
      <c r="E84" s="114" t="s">
        <v>94</v>
      </c>
      <c r="F84" s="116">
        <f>(F80/(F$80+F$81+F$82))</f>
        <v>0.18143513022807528</v>
      </c>
      <c r="H84" s="102"/>
      <c r="L84" s="102"/>
    </row>
    <row r="85" spans="1:13" x14ac:dyDescent="0.25">
      <c r="B85" s="212" t="s">
        <v>96</v>
      </c>
      <c r="C85" s="102">
        <f>C81/(C80+C$81+C$82)</f>
        <v>0.38533146491947584</v>
      </c>
      <c r="E85" s="114" t="s">
        <v>96</v>
      </c>
      <c r="F85" s="116">
        <f>F81/(F80+F$81+F$82)</f>
        <v>0.34528717024608174</v>
      </c>
      <c r="L85" s="102"/>
    </row>
    <row r="86" spans="1:13" x14ac:dyDescent="0.25">
      <c r="B86" s="174" t="s">
        <v>179</v>
      </c>
      <c r="C86" s="179">
        <f>(C82/(C80+C$81+C$82))</f>
        <v>0.5281655531598255</v>
      </c>
      <c r="E86" s="180" t="s">
        <v>95</v>
      </c>
      <c r="F86" s="181">
        <f>(F82/(F80+F$81+F$82))</f>
        <v>0.47327769952584298</v>
      </c>
      <c r="L86" s="102"/>
    </row>
    <row r="87" spans="1:13" x14ac:dyDescent="0.25">
      <c r="C87" s="1"/>
    </row>
    <row r="88" spans="1:13" x14ac:dyDescent="0.25">
      <c r="A88" s="55"/>
      <c r="B88" s="105" t="s">
        <v>113</v>
      </c>
      <c r="C88" s="105"/>
      <c r="D88" s="105"/>
      <c r="E88" s="108"/>
      <c r="I88" s="213"/>
      <c r="L88" s="102"/>
      <c r="M88" s="213"/>
    </row>
    <row r="89" spans="1:13" x14ac:dyDescent="0.25">
      <c r="A89" s="3"/>
      <c r="B89" s="379" t="s">
        <v>107</v>
      </c>
      <c r="C89" s="379">
        <f>IF('RESULTAAT &amp; SIMULATIE'!J20=LIJSTJES!B2,20,IF('RESULTAAT &amp; SIMULATIE'!J20=LIJSTJES!B3,9,IF('RESULTAAT &amp; SIMULATIE'!J20=LIJSTJES!B4,6,IF('RESULTAAT &amp; SIMULATIE'!J20=LIJSTJES!B6,20,9))))</f>
        <v>9</v>
      </c>
      <c r="D89" s="379"/>
      <c r="E89" s="109"/>
      <c r="L89" s="102"/>
      <c r="M89" s="213"/>
    </row>
    <row r="90" spans="1:13" x14ac:dyDescent="0.25">
      <c r="A90" s="3"/>
      <c r="B90" s="7" t="s">
        <v>108</v>
      </c>
      <c r="C90" s="4">
        <f>ALT_INVOER!B8*(0.337+0.116*ALT_INVOER!B9+0.06*ALT_INVOER!B10)</f>
        <v>7830.4679999999998</v>
      </c>
      <c r="D90" s="7"/>
      <c r="E90" s="109"/>
      <c r="L90" s="102"/>
      <c r="M90" s="213"/>
    </row>
    <row r="91" spans="1:13" x14ac:dyDescent="0.25">
      <c r="A91" s="3"/>
      <c r="B91" s="7" t="s">
        <v>109</v>
      </c>
      <c r="C91" s="4">
        <f>('RESULTAAT &amp; SIMULATIE'!N20*30.5)</f>
        <v>167.75</v>
      </c>
      <c r="D91" s="7"/>
      <c r="E91" s="110"/>
      <c r="L91" s="102"/>
    </row>
    <row r="92" spans="1:13" x14ac:dyDescent="0.25">
      <c r="A92" s="3"/>
      <c r="B92" s="26" t="s">
        <v>146</v>
      </c>
      <c r="C92" s="139">
        <f>IF('RESULTAAT &amp; SIMULATIE'!J20=LIJSTJES!B6,0.87,IF('RESULTAAT &amp; SIMULATIE'!J20=LIJSTJES!B7,0.87,1))</f>
        <v>1</v>
      </c>
      <c r="D92" s="7"/>
      <c r="E92" s="110"/>
      <c r="L92" s="102"/>
    </row>
    <row r="93" spans="1:13" x14ac:dyDescent="0.25">
      <c r="A93" s="3"/>
      <c r="B93" s="7" t="s">
        <v>110</v>
      </c>
      <c r="C93" s="218">
        <f>((2+0.75*(C89-2))*((1+(C90-9500)/500*0.02)*0.87)*C92)</f>
        <v>5.8862770763999999</v>
      </c>
      <c r="D93" s="7"/>
      <c r="E93" s="110"/>
    </row>
    <row r="94" spans="1:13" x14ac:dyDescent="0.25">
      <c r="A94" s="3"/>
      <c r="B94" s="7" t="s">
        <v>111</v>
      </c>
      <c r="C94" s="4">
        <f>C93*C91</f>
        <v>987.42297956610003</v>
      </c>
      <c r="D94" s="4"/>
      <c r="E94" s="56"/>
    </row>
    <row r="95" spans="1:13" x14ac:dyDescent="0.25">
      <c r="A95" s="24"/>
      <c r="B95" s="106" t="s">
        <v>112</v>
      </c>
      <c r="C95" s="111">
        <f>C94*ALT_INVOER!B7*960/1000</f>
        <v>94792.606038345592</v>
      </c>
      <c r="D95" s="111"/>
      <c r="E95" s="112"/>
    </row>
    <row r="96" spans="1:13" x14ac:dyDescent="0.25">
      <c r="D96" s="213"/>
    </row>
    <row r="97" spans="2:18" x14ac:dyDescent="0.25">
      <c r="B97" s="182" t="s">
        <v>180</v>
      </c>
      <c r="C97" s="184">
        <f>IF(SUM(ALT_BEREKENING!C63:C64)&gt;0,ALT_BEREKENING!C63/SUM(ALT_BEREKENING!C63:C64),0)</f>
        <v>1</v>
      </c>
      <c r="D97" s="213"/>
    </row>
    <row r="98" spans="2:18" x14ac:dyDescent="0.25">
      <c r="B98" s="183" t="s">
        <v>181</v>
      </c>
      <c r="C98" s="185">
        <f>1-C97</f>
        <v>0</v>
      </c>
      <c r="D98" s="213"/>
    </row>
    <row r="99" spans="2:18" x14ac:dyDescent="0.25">
      <c r="D99" s="213"/>
      <c r="K99" s="212" t="s">
        <v>232</v>
      </c>
      <c r="L99" s="212" t="s">
        <v>232</v>
      </c>
      <c r="M99" s="212" t="s">
        <v>232</v>
      </c>
    </row>
    <row r="100" spans="2:18" x14ac:dyDescent="0.25">
      <c r="B100" s="147" t="s">
        <v>97</v>
      </c>
      <c r="C100" s="141">
        <f>D22-ALT_BEREKENING!$C$61</f>
        <v>516392.72687105928</v>
      </c>
      <c r="D100" s="142" t="s">
        <v>144</v>
      </c>
      <c r="E100" s="140">
        <f>F22-ALT_BEREKENING!$C$61</f>
        <v>465098.42514176737</v>
      </c>
      <c r="F100" s="140" t="s">
        <v>144</v>
      </c>
      <c r="G100" s="143">
        <f>H22-ALT_BEREKENING!$C$61</f>
        <v>412526.8725745558</v>
      </c>
      <c r="H100" s="33" t="s">
        <v>144</v>
      </c>
      <c r="K100" s="213">
        <f>ALT_INVOER!$O45</f>
        <v>219650</v>
      </c>
      <c r="L100" s="213">
        <f>ALT_INVOER!$O45</f>
        <v>219650</v>
      </c>
      <c r="M100" s="213">
        <f>ALT_INVOER!$O45</f>
        <v>219650</v>
      </c>
      <c r="P100" s="213"/>
      <c r="Q100" s="213"/>
      <c r="R100" s="213"/>
    </row>
    <row r="101" spans="2:18" x14ac:dyDescent="0.25">
      <c r="B101" s="144" t="s">
        <v>98</v>
      </c>
      <c r="C101" s="76">
        <f>C84*C$100</f>
        <v>44669.510716507524</v>
      </c>
      <c r="D101" s="626">
        <f>C101</f>
        <v>44669.510716507524</v>
      </c>
      <c r="E101" s="76">
        <f>C84*E$100</f>
        <v>40232.400661383726</v>
      </c>
      <c r="F101" s="626">
        <f>E101</f>
        <v>40232.400661383726</v>
      </c>
      <c r="G101" s="76">
        <f>C84*G$100</f>
        <v>35684.804600119161</v>
      </c>
      <c r="H101" s="626">
        <f>G101</f>
        <v>35684.804600119161</v>
      </c>
      <c r="K101" s="213">
        <f>IF('RESULTAAT &amp; SIMULATIE'!M33&gt;0,C101*1000/960,0)</f>
        <v>46530.740329695334</v>
      </c>
      <c r="L101" s="213">
        <f>IF(INVOERPAGINA!$H41&gt;0,E101*1000/960,0)</f>
        <v>41908.750688941378</v>
      </c>
      <c r="M101" s="213">
        <f>IF(INVOERPAGINA!$H41&gt;0,G101*1000/960,0)</f>
        <v>37171.671458457458</v>
      </c>
      <c r="N101" s="213"/>
      <c r="P101" s="213"/>
      <c r="Q101" s="213"/>
      <c r="R101" s="213"/>
    </row>
    <row r="102" spans="2:18" x14ac:dyDescent="0.25">
      <c r="B102" s="145" t="s">
        <v>101</v>
      </c>
      <c r="C102" s="18">
        <f>C85*C$100</f>
        <v>198982.36591898804</v>
      </c>
      <c r="D102" s="627">
        <f t="shared" ref="D102:D104" si="1">C102</f>
        <v>198982.36591898804</v>
      </c>
      <c r="E102" s="18">
        <f>C85*E$100</f>
        <v>179217.05749161838</v>
      </c>
      <c r="F102" s="627">
        <f t="shared" ref="F102:F104" si="2">E102</f>
        <v>179217.05749161838</v>
      </c>
      <c r="G102" s="18">
        <f>C85*G$100</f>
        <v>158959.58412780354</v>
      </c>
      <c r="H102" s="627">
        <f t="shared" ref="H102:H104" si="3">G102</f>
        <v>158959.58412780354</v>
      </c>
      <c r="K102" s="213">
        <f>IF(ALT_INVOER!$Z54&gt;0,C102*1000/ALT_INVOER!$Z54,0)</f>
        <v>227408.41819312921</v>
      </c>
      <c r="L102" s="213">
        <f>IF(ALT_INVOER!$Z54&gt;0,E102*1000/ALT_INVOER!$Z54,0)</f>
        <v>204819.49427613532</v>
      </c>
      <c r="M102" s="213">
        <f>IF(ALT_INVOER!$Z54&gt;0,G102*1000/ALT_INVOER!$Z54,0)</f>
        <v>181668.09614606117</v>
      </c>
      <c r="N102" s="213"/>
      <c r="P102" s="213"/>
      <c r="Q102" s="213"/>
      <c r="R102" s="213"/>
    </row>
    <row r="103" spans="2:18" x14ac:dyDescent="0.25">
      <c r="B103" s="145" t="s">
        <v>102</v>
      </c>
      <c r="C103" s="18">
        <f>$C$86*C$100*$C$97</f>
        <v>272740.8502355637</v>
      </c>
      <c r="D103" s="627">
        <f t="shared" si="1"/>
        <v>272740.8502355637</v>
      </c>
      <c r="E103" s="18">
        <f>$C$86*E$100*$C$97</f>
        <v>245648.96698876526</v>
      </c>
      <c r="F103" s="627">
        <f t="shared" si="2"/>
        <v>245648.96698876526</v>
      </c>
      <c r="G103" s="18">
        <f>$C$86*G$100*$C$97</f>
        <v>217882.48384663311</v>
      </c>
      <c r="H103" s="627">
        <f t="shared" si="3"/>
        <v>217882.48384663311</v>
      </c>
      <c r="K103" s="213">
        <f>IF(ALT_INVOER!$Z63&gt;0,C103*1000/ALT_INVOER!$Z63,0)</f>
        <v>294854.97322763642</v>
      </c>
      <c r="L103" s="213">
        <f>IF(ALT_INVOER!$Z63&gt;0,E103*1000/ALT_INVOER!$Z63,0)</f>
        <v>265566.45079866517</v>
      </c>
      <c r="M103" s="213">
        <f>IF(ALT_INVOER!$Z63&gt;0,G103*1000/ALT_INVOER!$Z63,0)</f>
        <v>235548.63118554931</v>
      </c>
      <c r="N103" s="213"/>
      <c r="P103" s="213"/>
      <c r="Q103" s="213"/>
      <c r="R103" s="213"/>
    </row>
    <row r="104" spans="2:18" x14ac:dyDescent="0.25">
      <c r="B104" s="172" t="s">
        <v>177</v>
      </c>
      <c r="C104" s="60">
        <f>$C$86*C$100*$C$98</f>
        <v>0</v>
      </c>
      <c r="D104" s="628">
        <f t="shared" si="1"/>
        <v>0</v>
      </c>
      <c r="E104" s="60">
        <f>$C$86*E$100*$C$98</f>
        <v>0</v>
      </c>
      <c r="F104" s="628">
        <f t="shared" si="2"/>
        <v>0</v>
      </c>
      <c r="G104" s="60">
        <f>$C$86*G$100*$C$98</f>
        <v>0</v>
      </c>
      <c r="H104" s="628">
        <f t="shared" si="3"/>
        <v>0</v>
      </c>
      <c r="K104" s="213">
        <f>IF(ALT_INVOER!$Z72&gt;0,C104*1000/ALT_INVOER!$Z72,0)</f>
        <v>0</v>
      </c>
      <c r="L104" s="213">
        <f>IF(ALT_INVOER!$Z72&gt;0,E104*1000/ALT_INVOER!$Z72,0)</f>
        <v>0</v>
      </c>
      <c r="M104" s="213">
        <f>IF(ALT_INVOER!$Z72&gt;0,G104*1000/ALT_INVOER!$Z72,0)</f>
        <v>0</v>
      </c>
      <c r="N104" s="213"/>
      <c r="P104" s="213"/>
      <c r="Q104" s="213"/>
      <c r="R104" s="213"/>
    </row>
    <row r="105" spans="2:18" x14ac:dyDescent="0.25">
      <c r="C105" s="213"/>
      <c r="D105" s="213"/>
      <c r="E105" s="213" t="s">
        <v>331</v>
      </c>
      <c r="F105" s="213"/>
      <c r="G105" s="213"/>
      <c r="H105" s="213"/>
      <c r="P105" s="213"/>
      <c r="Q105" s="213"/>
      <c r="R105" s="213"/>
    </row>
    <row r="106" spans="2:18" x14ac:dyDescent="0.25">
      <c r="K106" s="1">
        <f>INVOERPAGINA!C13/SUM(INVOERPAGINA!C13:C15)*(SUM(K100:K104)/INVOERPAGINA!C17/365)</f>
        <v>21.601209089053725</v>
      </c>
      <c r="L106" s="213">
        <f>INVOERPAGINA!C13/SUM(INVOERPAGINA!C13:C15)*(D22/SUM(K100:K104)*1000)</f>
        <v>949.78286566544853</v>
      </c>
      <c r="M106" s="213">
        <f>INVOERPAGINA!C13/SUM(INVOERPAGINA!C13:C15)*(C120/SUM(K100:K104)*1000*6.25)</f>
        <v>165.66788636608047</v>
      </c>
      <c r="N106" s="1">
        <f>INVOERPAGINA!C13/SUM(INVOERPAGINA!C13:C15)*(D120/SUM(K100:K104)*1000)</f>
        <v>4.2175336247287234</v>
      </c>
      <c r="P106" s="213"/>
      <c r="Q106" s="213"/>
      <c r="R106" s="213"/>
    </row>
    <row r="107" spans="2:18" x14ac:dyDescent="0.25">
      <c r="B107" s="55" t="s">
        <v>116</v>
      </c>
      <c r="C107" s="187" t="s">
        <v>184</v>
      </c>
      <c r="D107" s="188" t="s">
        <v>116</v>
      </c>
      <c r="F107" s="213"/>
      <c r="K107" s="1">
        <f>INVOERPAGINA!C15/SUM(INVOERPAGINA!C13:C15)*(SUM(L100:L104)/365/INVOERPAGINA!C17)</f>
        <v>0</v>
      </c>
      <c r="L107" s="213">
        <f>INVOERPAGINA!C15/SUM(INVOERPAGINA!C13:C15)*(F22/SUM(L100:L104)*1000)</f>
        <v>0</v>
      </c>
      <c r="M107" s="213">
        <f>INVOERPAGINA!C15/SUM(INVOERPAGINA!C13:C15)*(E120/SUM($L100:$L104)*1000*6.25)</f>
        <v>0</v>
      </c>
      <c r="N107" s="1">
        <f>INVOERPAGINA!C15/SUM(INVOERPAGINA!C13:C15)*(F120/SUM($L100:$L104)*1000)</f>
        <v>0</v>
      </c>
      <c r="P107" s="213"/>
      <c r="Q107" s="213"/>
      <c r="R107" s="213"/>
    </row>
    <row r="108" spans="2:18" x14ac:dyDescent="0.25">
      <c r="B108" s="144" t="s">
        <v>117</v>
      </c>
      <c r="C108" s="132">
        <f>IF(ALT_BEREKENING!G62&gt;0,ALT_BEREKENING!I62/ALT_BEREKENING!G62*1.1,0)</f>
        <v>3.5200000000000002E-2</v>
      </c>
      <c r="D108" s="189">
        <f>IF(ALT_BEREKENING!G62&gt;0,ALT_BEREKENING!H62/ALT_BEREKENING!G62*1.05,0)</f>
        <v>5.0400000000000011E-3</v>
      </c>
      <c r="K108" s="1">
        <f>INVOERPAGINA!C14/SUM(INVOERPAGINA!C13:C15)*(SUM(M100:M104)/365/INVOERPAGINA!C17)</f>
        <v>0</v>
      </c>
      <c r="L108" s="213">
        <f>INVOERPAGINA!C14/SUM(INVOERPAGINA!C13:C15)*(H22/SUM(M100:M104)*1000)</f>
        <v>0</v>
      </c>
      <c r="M108" s="213">
        <f>INVOERPAGINA!C14/SUM(INVOERPAGINA!C13:C15)*(G120*6.25*1000/(SUM($M100:$M104)))</f>
        <v>0</v>
      </c>
      <c r="N108" s="1">
        <f>INVOERPAGINA!C14/SUM(INVOERPAGINA!C13:C15)*(H120*1000/(SUM($M100:$M104)))</f>
        <v>0</v>
      </c>
      <c r="P108" s="213"/>
      <c r="Q108" s="213"/>
      <c r="R108" s="213"/>
    </row>
    <row r="109" spans="2:18" x14ac:dyDescent="0.25">
      <c r="B109" s="145" t="s">
        <v>71</v>
      </c>
      <c r="C109" s="133">
        <f>IF(ALT_BEREKENING!G62&gt;0,ALT_BEREKENING!I62/ALT_BEREKENING!G62,0)</f>
        <v>3.2000000000000001E-2</v>
      </c>
      <c r="D109" s="190">
        <f>IF(ALT_BEREKENING!G62&gt;0,ALT_BEREKENING!H62/ALT_BEREKENING!G62,0)</f>
        <v>4.8000000000000004E-3</v>
      </c>
      <c r="K109" s="1">
        <f>SUM(K106:K108)</f>
        <v>21.601209089053725</v>
      </c>
      <c r="L109" s="213">
        <f t="shared" ref="L109:N109" si="4">SUM(L106:L108)</f>
        <v>949.78286566544853</v>
      </c>
      <c r="M109" s="213">
        <f t="shared" si="4"/>
        <v>165.66788636608047</v>
      </c>
      <c r="N109" s="1">
        <f t="shared" si="4"/>
        <v>4.2175336247287234</v>
      </c>
      <c r="P109" s="213"/>
      <c r="Q109" s="213"/>
      <c r="R109" s="213"/>
    </row>
    <row r="110" spans="2:18" x14ac:dyDescent="0.25">
      <c r="B110" s="145" t="s">
        <v>82</v>
      </c>
      <c r="C110" s="133">
        <f>IF(ALT_BEREKENING!G63&gt;0,ALT_BEREKENING!I63/ALT_BEREKENING!G63,0)</f>
        <v>1.3513513513513514E-2</v>
      </c>
      <c r="D110" s="190">
        <f>IF(ALT_BEREKENING!G63&gt;0,ALT_BEREKENING!H63/ALT_BEREKENING!G63,0)</f>
        <v>2.1621621621621622E-3</v>
      </c>
    </row>
    <row r="111" spans="2:18" x14ac:dyDescent="0.25">
      <c r="B111" s="186" t="s">
        <v>182</v>
      </c>
      <c r="C111" s="133">
        <f>IF(ALT_BEREKENING!G64&gt;0,ALT_BEREKENING!I64/ALT_BEREKENING!G64,0)</f>
        <v>0</v>
      </c>
      <c r="D111" s="190">
        <f>IF(ALT_BEREKENING!G64&gt;0,ALT_BEREKENING!H64/ALT_BEREKENING!G64,0)</f>
        <v>0</v>
      </c>
    </row>
    <row r="112" spans="2:18" x14ac:dyDescent="0.25">
      <c r="B112" s="146" t="s">
        <v>72</v>
      </c>
      <c r="C112" s="134">
        <f>IF(ALT_BEREKENING!G61&gt;0,ALT_BEREKENING!I61/ALT_BEREKENING!G61,0)</f>
        <v>3.9894045375938873E-2</v>
      </c>
      <c r="D112" s="191">
        <f>IF(ALT_BEREKENING!G61&gt;0,ALT_BEREKENING!H61/ALT_BEREKENING!G61,0)</f>
        <v>6.6908000585051914E-3</v>
      </c>
    </row>
    <row r="114" spans="2:12" x14ac:dyDescent="0.25">
      <c r="B114" s="432"/>
      <c r="C114" s="433" t="s">
        <v>137</v>
      </c>
      <c r="D114" s="434" t="s">
        <v>138</v>
      </c>
      <c r="E114" s="435" t="s">
        <v>137</v>
      </c>
      <c r="F114" s="435" t="s">
        <v>138</v>
      </c>
      <c r="G114" s="436" t="s">
        <v>137</v>
      </c>
      <c r="H114" s="437" t="s">
        <v>138</v>
      </c>
      <c r="I114" s="432"/>
      <c r="J114" s="432"/>
      <c r="K114" s="432"/>
      <c r="L114" s="432"/>
    </row>
    <row r="115" spans="2:12" x14ac:dyDescent="0.25">
      <c r="B115" s="438" t="s">
        <v>117</v>
      </c>
      <c r="C115" s="439">
        <f>$C108*C101</f>
        <v>1572.3667772210649</v>
      </c>
      <c r="D115" s="440">
        <f>C101*$D108</f>
        <v>225.13433401119798</v>
      </c>
      <c r="E115" s="439">
        <f>$C108*E101</f>
        <v>1416.1805032807072</v>
      </c>
      <c r="F115" s="440">
        <f>E101*$D108</f>
        <v>202.77129933337403</v>
      </c>
      <c r="G115" s="439">
        <f>$C108*G101</f>
        <v>1256.1051219241945</v>
      </c>
      <c r="H115" s="440">
        <f>G101*$D108</f>
        <v>179.85141518460063</v>
      </c>
      <c r="I115" s="432"/>
      <c r="J115" s="432"/>
      <c r="K115" s="432"/>
      <c r="L115" s="432"/>
    </row>
    <row r="116" spans="2:12" x14ac:dyDescent="0.25">
      <c r="B116" s="441" t="s">
        <v>71</v>
      </c>
      <c r="C116" s="439">
        <f>$C109*C102</f>
        <v>6367.4357094076177</v>
      </c>
      <c r="D116" s="440">
        <f t="shared" ref="D116:D118" si="5">C102*$D109</f>
        <v>955.11535641114267</v>
      </c>
      <c r="E116" s="439">
        <f>$C109*E102</f>
        <v>5734.9458397317885</v>
      </c>
      <c r="F116" s="440">
        <f t="shared" ref="F116:F118" si="6">E102*$D109</f>
        <v>860.24187595976832</v>
      </c>
      <c r="G116" s="439">
        <f t="shared" ref="G116:G118" si="7">$C109*G102</f>
        <v>5086.7066920897132</v>
      </c>
      <c r="H116" s="440">
        <f t="shared" ref="H116:H118" si="8">G102*$D109</f>
        <v>763.00600381345703</v>
      </c>
      <c r="I116" s="432"/>
      <c r="J116" s="432"/>
      <c r="K116" s="432"/>
      <c r="L116" s="432"/>
    </row>
    <row r="117" spans="2:12" x14ac:dyDescent="0.25">
      <c r="B117" s="441" t="s">
        <v>82</v>
      </c>
      <c r="C117" s="439">
        <f>$C110*C103</f>
        <v>3685.6871653454555</v>
      </c>
      <c r="D117" s="440">
        <f t="shared" si="5"/>
        <v>589.70994645527287</v>
      </c>
      <c r="E117" s="439">
        <f>$C110*E103</f>
        <v>3319.5806349833147</v>
      </c>
      <c r="F117" s="440">
        <f t="shared" si="6"/>
        <v>531.13290159733026</v>
      </c>
      <c r="G117" s="439">
        <f t="shared" si="7"/>
        <v>2944.3578898193664</v>
      </c>
      <c r="H117" s="440">
        <f t="shared" si="8"/>
        <v>471.09726237109862</v>
      </c>
      <c r="I117" s="432"/>
      <c r="J117" s="432"/>
      <c r="K117" s="432"/>
      <c r="L117" s="432"/>
    </row>
    <row r="118" spans="2:12" x14ac:dyDescent="0.25">
      <c r="B118" s="442" t="s">
        <v>197</v>
      </c>
      <c r="C118" s="439">
        <f>$C111*C104</f>
        <v>0</v>
      </c>
      <c r="D118" s="440">
        <f t="shared" si="5"/>
        <v>0</v>
      </c>
      <c r="E118" s="439">
        <f>$C111*E104</f>
        <v>0</v>
      </c>
      <c r="F118" s="440">
        <f t="shared" si="6"/>
        <v>0</v>
      </c>
      <c r="G118" s="439">
        <f t="shared" si="7"/>
        <v>0</v>
      </c>
      <c r="H118" s="440">
        <f t="shared" si="8"/>
        <v>0</v>
      </c>
      <c r="I118" s="432"/>
      <c r="J118" s="432"/>
      <c r="K118" s="432"/>
      <c r="L118" s="432"/>
    </row>
    <row r="119" spans="2:12" x14ac:dyDescent="0.25">
      <c r="B119" s="443" t="s">
        <v>196</v>
      </c>
      <c r="C119" s="444">
        <f>$C112*ALT_BEREKENING!$C$61</f>
        <v>9273.6899999999987</v>
      </c>
      <c r="D119" s="445">
        <f>$D112*ALT_BEREKENING!$C$61</f>
        <v>1555.3299999999997</v>
      </c>
      <c r="E119" s="444">
        <f>$C112*ALT_BEREKENING!$C$61</f>
        <v>9273.6899999999987</v>
      </c>
      <c r="F119" s="445">
        <f>$D112*ALT_BEREKENING!$C$61</f>
        <v>1555.3299999999997</v>
      </c>
      <c r="G119" s="444">
        <f>$C112*ALT_BEREKENING!$C$61</f>
        <v>9273.6899999999987</v>
      </c>
      <c r="H119" s="445">
        <f>$D112*ALT_BEREKENING!$C$61</f>
        <v>1555.3299999999997</v>
      </c>
      <c r="I119" s="432"/>
      <c r="J119" s="432"/>
      <c r="K119" s="432"/>
      <c r="L119" s="432"/>
    </row>
    <row r="120" spans="2:12" x14ac:dyDescent="0.25">
      <c r="B120" s="432" t="s">
        <v>139</v>
      </c>
      <c r="C120" s="446">
        <f t="shared" ref="C120:H120" si="9">SUM(C115:C119)</f>
        <v>20899.179651974137</v>
      </c>
      <c r="D120" s="447">
        <f t="shared" si="9"/>
        <v>3325.2896368776128</v>
      </c>
      <c r="E120" s="446">
        <f t="shared" si="9"/>
        <v>19744.39697799581</v>
      </c>
      <c r="F120" s="447">
        <f t="shared" si="9"/>
        <v>3149.4760768904725</v>
      </c>
      <c r="G120" s="446">
        <f t="shared" si="9"/>
        <v>18560.859703833274</v>
      </c>
      <c r="H120" s="447">
        <f t="shared" si="9"/>
        <v>2969.2846813691558</v>
      </c>
      <c r="I120" s="432"/>
      <c r="J120" s="432"/>
      <c r="K120" s="432"/>
      <c r="L120" s="432"/>
    </row>
    <row r="121" spans="2:12" x14ac:dyDescent="0.25">
      <c r="B121" s="432" t="s">
        <v>140</v>
      </c>
      <c r="C121" s="448">
        <f>C57</f>
        <v>4600.4907115673977</v>
      </c>
      <c r="D121" s="448">
        <f>D57</f>
        <v>894.41470000000004</v>
      </c>
      <c r="E121" s="448">
        <f t="shared" ref="E121:H121" si="10">E57</f>
        <v>4507.1356765673981</v>
      </c>
      <c r="F121" s="448">
        <f t="shared" si="10"/>
        <v>864.41308333333325</v>
      </c>
      <c r="G121" s="448">
        <f t="shared" si="10"/>
        <v>4413.7806415673977</v>
      </c>
      <c r="H121" s="448">
        <f t="shared" si="10"/>
        <v>834.41146666666657</v>
      </c>
      <c r="I121" s="432"/>
      <c r="J121" s="432"/>
      <c r="K121" s="432"/>
      <c r="L121" s="432"/>
    </row>
    <row r="122" spans="2:12" x14ac:dyDescent="0.25">
      <c r="B122" s="432" t="s">
        <v>141</v>
      </c>
      <c r="C122" s="448">
        <f>C120-C121</f>
        <v>16298.688940406739</v>
      </c>
      <c r="D122" s="448">
        <f>D120-D121</f>
        <v>2430.8749368776125</v>
      </c>
      <c r="E122" s="448">
        <f t="shared" ref="E122:H122" si="11">E120-E121</f>
        <v>15237.261301428411</v>
      </c>
      <c r="F122" s="448">
        <f t="shared" si="11"/>
        <v>2285.0629935571392</v>
      </c>
      <c r="G122" s="448">
        <f t="shared" si="11"/>
        <v>14147.079062265875</v>
      </c>
      <c r="H122" s="448">
        <f t="shared" si="11"/>
        <v>2134.8732147024893</v>
      </c>
      <c r="I122" s="432"/>
      <c r="J122" s="432"/>
      <c r="K122" s="432"/>
      <c r="L122" s="432"/>
    </row>
    <row r="123" spans="2:12" x14ac:dyDescent="0.25">
      <c r="B123" s="432" t="s">
        <v>142</v>
      </c>
      <c r="C123" s="449">
        <f>C121/C120</f>
        <v>0.22012781306144882</v>
      </c>
      <c r="D123" s="449">
        <f t="shared" ref="D123:H123" si="12">D121/D120</f>
        <v>0.2689734722897219</v>
      </c>
      <c r="E123" s="449">
        <f t="shared" si="12"/>
        <v>0.22827416211244062</v>
      </c>
      <c r="F123" s="449">
        <f t="shared" si="12"/>
        <v>0.27446250177165399</v>
      </c>
      <c r="G123" s="449">
        <f t="shared" si="12"/>
        <v>0.23780044200516443</v>
      </c>
      <c r="H123" s="449">
        <f t="shared" si="12"/>
        <v>0.28101430351296403</v>
      </c>
      <c r="I123" s="432"/>
      <c r="J123" s="432"/>
      <c r="K123" s="432"/>
      <c r="L123" s="432"/>
    </row>
    <row r="124" spans="2:12" x14ac:dyDescent="0.25">
      <c r="B124" s="432" t="s">
        <v>143</v>
      </c>
      <c r="C124" s="450">
        <f>C123*100</f>
        <v>22.012781306144884</v>
      </c>
      <c r="D124" s="450">
        <f t="shared" ref="D124:H124" si="13">D123*100</f>
        <v>26.89734722897219</v>
      </c>
      <c r="E124" s="450">
        <f t="shared" si="13"/>
        <v>22.82741621124406</v>
      </c>
      <c r="F124" s="450">
        <f t="shared" si="13"/>
        <v>27.4462501771654</v>
      </c>
      <c r="G124" s="450">
        <f t="shared" si="13"/>
        <v>23.780044200516443</v>
      </c>
      <c r="H124" s="450">
        <f t="shared" si="13"/>
        <v>28.101430351296404</v>
      </c>
      <c r="I124" s="432"/>
      <c r="J124" s="432"/>
      <c r="K124" s="432"/>
      <c r="L124" s="432"/>
    </row>
    <row r="125" spans="2:12" x14ac:dyDescent="0.25">
      <c r="B125" s="432"/>
      <c r="C125" s="432"/>
      <c r="D125" s="432"/>
      <c r="E125" s="450"/>
      <c r="F125" s="450"/>
      <c r="G125" s="432"/>
      <c r="H125" s="432"/>
      <c r="I125" s="432"/>
      <c r="J125" s="432"/>
      <c r="K125" s="432"/>
      <c r="L125" s="432"/>
    </row>
    <row r="126" spans="2:12" x14ac:dyDescent="0.25">
      <c r="B126" s="432"/>
      <c r="C126" s="448">
        <f>(ALT_INVOER!$B$3*ALT_BEREKENING!C121+ALT_INVOER!$B$4*G121+ALT_INVOER!$B$5*E121)/SUM(ALT_INVOER!$B$3:$B$5)</f>
        <v>4600.4907115673977</v>
      </c>
      <c r="D126" s="448">
        <f>(ALT_INVOER!$B$3*ALT_BEREKENING!D121+ALT_INVOER!$B$4*F121+ALT_INVOER!$B$5*H121)/SUM(ALT_INVOER!$B$3:$B$5)</f>
        <v>894.41470000000004</v>
      </c>
      <c r="E126" s="450"/>
      <c r="F126" s="450"/>
      <c r="G126" s="432"/>
      <c r="H126" s="432"/>
      <c r="I126" s="432"/>
      <c r="J126" s="432"/>
      <c r="K126" s="432"/>
      <c r="L126" s="432"/>
    </row>
    <row r="128" spans="2:12" x14ac:dyDescent="0.25">
      <c r="B128" s="119" t="s">
        <v>123</v>
      </c>
      <c r="C128" s="127">
        <v>1</v>
      </c>
    </row>
    <row r="129" spans="2:5" x14ac:dyDescent="0.25">
      <c r="B129" s="65" t="s">
        <v>124</v>
      </c>
      <c r="C129" s="128">
        <f>1-C128</f>
        <v>0</v>
      </c>
    </row>
    <row r="130" spans="2:5" x14ac:dyDescent="0.25">
      <c r="B130" s="65" t="s">
        <v>119</v>
      </c>
      <c r="C130" s="128">
        <v>1</v>
      </c>
    </row>
    <row r="131" spans="2:5" x14ac:dyDescent="0.25">
      <c r="B131" s="65" t="s">
        <v>120</v>
      </c>
      <c r="C131" s="128">
        <f>1-C130</f>
        <v>0</v>
      </c>
    </row>
    <row r="132" spans="2:5" x14ac:dyDescent="0.25">
      <c r="B132" s="65" t="s">
        <v>121</v>
      </c>
      <c r="C132" s="128">
        <v>1</v>
      </c>
    </row>
    <row r="133" spans="2:5" x14ac:dyDescent="0.25">
      <c r="B133" s="66" t="s">
        <v>122</v>
      </c>
      <c r="C133" s="129">
        <f>1-C132</f>
        <v>0</v>
      </c>
    </row>
    <row r="134" spans="2:5" x14ac:dyDescent="0.25">
      <c r="B134" s="99"/>
      <c r="C134" s="118"/>
    </row>
    <row r="135" spans="2:5" x14ac:dyDescent="0.25">
      <c r="B135" s="122"/>
      <c r="C135" s="124" t="s">
        <v>130</v>
      </c>
      <c r="D135" s="125" t="s">
        <v>128</v>
      </c>
      <c r="E135" s="121" t="s">
        <v>129</v>
      </c>
    </row>
    <row r="136" spans="2:5" x14ac:dyDescent="0.25">
      <c r="B136" s="123"/>
      <c r="C136" s="120" t="s">
        <v>131</v>
      </c>
      <c r="D136" s="120"/>
      <c r="E136" s="126" t="s">
        <v>132</v>
      </c>
    </row>
    <row r="137" spans="2:5" x14ac:dyDescent="0.25">
      <c r="B137" s="65" t="s">
        <v>125</v>
      </c>
      <c r="C137" s="152">
        <v>136.69999999999999</v>
      </c>
      <c r="D137" s="152">
        <v>120.6</v>
      </c>
      <c r="E137" s="153">
        <v>109.5</v>
      </c>
    </row>
    <row r="138" spans="2:5" x14ac:dyDescent="0.25">
      <c r="B138" s="65" t="s">
        <v>126</v>
      </c>
      <c r="C138" s="152">
        <v>36.799999999999997</v>
      </c>
      <c r="D138" s="152">
        <v>34.5</v>
      </c>
      <c r="E138" s="153">
        <v>29.4</v>
      </c>
    </row>
    <row r="139" spans="2:5" x14ac:dyDescent="0.25">
      <c r="B139" s="66" t="s">
        <v>127</v>
      </c>
      <c r="C139" s="154">
        <v>78.900000000000006</v>
      </c>
      <c r="D139" s="154">
        <v>73.900000000000006</v>
      </c>
      <c r="E139" s="155">
        <v>63.1</v>
      </c>
    </row>
    <row r="140" spans="2:5" x14ac:dyDescent="0.25">
      <c r="C140" s="118"/>
    </row>
    <row r="142" spans="2:5" x14ac:dyDescent="0.25">
      <c r="B142" s="104" t="s">
        <v>133</v>
      </c>
      <c r="C142" s="150">
        <f>ALT_INVOER!B7*ALT_BEREKENING!C128*ALT_BEREKENING!D137+ALT_INVOER!B7*ALT_BEREKENING!C129*ALT_BEREKENING!E137+ALT_INVOER!B13*ALT_BEREKENING!C130*ALT_BEREKENING!D138+ALT_INVOER!B13*ALT_BEREKENING!C131*ALT_BEREKENING!E138+ALT_INVOER!B15*ALT_BEREKENING!C132*ALT_BEREKENING!D139+ALT_INVOER!B15*ALT_BEREKENING!C133*ALT_BEREKENING!E139</f>
        <v>15841.75</v>
      </c>
    </row>
    <row r="143" spans="2:5" x14ac:dyDescent="0.25">
      <c r="B143" s="148" t="s">
        <v>134</v>
      </c>
      <c r="C143" s="151">
        <f>ALT_INVOER!B7*C137+ALT_INVOER!B13*C138+ALT_INVOER!B15*C139</f>
        <v>17706.25</v>
      </c>
    </row>
    <row r="144" spans="2:5" x14ac:dyDescent="0.25">
      <c r="B144" s="149" t="s">
        <v>135</v>
      </c>
      <c r="C144" s="156">
        <f>C142/C143</f>
        <v>0.89469819978821041</v>
      </c>
    </row>
    <row r="145" spans="2:14" x14ac:dyDescent="0.25">
      <c r="E145" s="103"/>
      <c r="F145" s="103"/>
      <c r="G145" s="103"/>
      <c r="H145" s="103"/>
    </row>
    <row r="146" spans="2:14" x14ac:dyDescent="0.25">
      <c r="B146" s="131" t="s">
        <v>136</v>
      </c>
      <c r="C146" s="141" t="s">
        <v>185</v>
      </c>
      <c r="D146" s="142" t="s">
        <v>145</v>
      </c>
      <c r="E146" s="194" t="s">
        <v>185</v>
      </c>
      <c r="F146" s="194" t="s">
        <v>145</v>
      </c>
      <c r="G146" s="195" t="s">
        <v>185</v>
      </c>
      <c r="H146" s="196" t="s">
        <v>145</v>
      </c>
    </row>
    <row r="147" spans="2:14" x14ac:dyDescent="0.25">
      <c r="B147" s="192"/>
      <c r="C147" s="187">
        <f>C122*$C144</f>
        <v>14582.407653889924</v>
      </c>
      <c r="D147" s="193">
        <f>D122*2.29</f>
        <v>5566.703605449733</v>
      </c>
      <c r="E147" s="187">
        <f>E122*$C144</f>
        <v>13632.750256090563</v>
      </c>
      <c r="F147" s="193">
        <f>F122*2.29</f>
        <v>5232.7942552458489</v>
      </c>
      <c r="G147" s="187">
        <f>G122*$C144</f>
        <v>12657.366169270763</v>
      </c>
      <c r="H147" s="193">
        <f>H122*2.29</f>
        <v>4888.8596616687009</v>
      </c>
    </row>
    <row r="148" spans="2:14" x14ac:dyDescent="0.25">
      <c r="B148" s="212" t="s">
        <v>207</v>
      </c>
      <c r="C148" s="282">
        <f>(C147*ALT_INVOER!$B3+ALT_BEREKENING!E147*ALT_INVOER!$B5+ALT_INVOER!$B4*ALT_BEREKENING!G147)/SUM(ALT_INVOER!$B3:$B5)</f>
        <v>14582.407653889924</v>
      </c>
      <c r="D148" s="282">
        <f>(D147*ALT_INVOER!$B3+ALT_BEREKENING!F147*ALT_INVOER!$B5+ALT_INVOER!$B4*ALT_BEREKENING!H147)/SUM(ALT_INVOER!$B3:$B5)</f>
        <v>5566.703605449733</v>
      </c>
    </row>
    <row r="149" spans="2:14" x14ac:dyDescent="0.25">
      <c r="B149" s="7"/>
      <c r="C149" s="7"/>
    </row>
    <row r="150" spans="2:14" x14ac:dyDescent="0.25">
      <c r="B150" s="212" t="s">
        <v>199</v>
      </c>
      <c r="J150" s="1">
        <f>SUM(D151:D154)</f>
        <v>72.141336189243361</v>
      </c>
    </row>
    <row r="151" spans="2:14" x14ac:dyDescent="0.25">
      <c r="B151" s="212" t="s">
        <v>200</v>
      </c>
      <c r="C151" s="213">
        <f>IF(C$101&gt;D$101,C101/0.96,D101/0.96)</f>
        <v>46530.740329695342</v>
      </c>
      <c r="D151" s="1">
        <f>C151/C$156*100</f>
        <v>5.9015900373803669</v>
      </c>
      <c r="E151" s="213">
        <f t="shared" ref="E151:G151" si="14">IF(E$101&gt;F$101,E101/0.96,F101/0.96)</f>
        <v>41908.750688941385</v>
      </c>
      <c r="F151" s="1">
        <f>E151/E$156*100</f>
        <v>5.7256717524555647</v>
      </c>
      <c r="G151" s="213">
        <f t="shared" si="14"/>
        <v>37171.671458457458</v>
      </c>
      <c r="H151" s="1">
        <f>G151/G$156*100</f>
        <v>5.514770601375595</v>
      </c>
      <c r="J151" s="213">
        <f>D151/J$150*100</f>
        <v>8.1805943015792426</v>
      </c>
    </row>
    <row r="152" spans="2:14" x14ac:dyDescent="0.25">
      <c r="B152" s="212" t="s">
        <v>201</v>
      </c>
      <c r="C152" s="213">
        <f>IF(ALT_INVOER!$Z54&gt;0,IF(C$101&gt;D$101,C102/ALT_INVOER!$Z54*1000,D102/ALT_INVOER!$Z54*1000))</f>
        <v>227408.41819312918</v>
      </c>
      <c r="D152" s="1">
        <f t="shared" ref="D152:F155" si="15">C152/C$156*100</f>
        <v>28.842680037233499</v>
      </c>
      <c r="E152" s="213">
        <f>IF(ALT_INVOER!$Z54&gt;0,IF(E$101&gt;F$101,E102/ALT_INVOER!$Z54*1000,F102/ALT_INVOER!$Z54*1000))</f>
        <v>204819.49427613529</v>
      </c>
      <c r="F152" s="1">
        <f t="shared" si="15"/>
        <v>27.982919401091916</v>
      </c>
      <c r="G152" s="213">
        <f>IF(ALT_INVOER!$Z54&gt;0,IF(G$101&gt;H$101,G102/ALT_INVOER!$Z54*1000,H102/ALT_INVOER!$Z54*1000))</f>
        <v>181668.09614606117</v>
      </c>
      <c r="H152" s="1">
        <f t="shared" ref="H152:H155" si="16">G152/G$156*100</f>
        <v>26.952187957268364</v>
      </c>
      <c r="J152" s="213">
        <f t="shared" ref="J152:J154" si="17">D152/J$150*100</f>
        <v>39.980795422990916</v>
      </c>
    </row>
    <row r="153" spans="2:14" x14ac:dyDescent="0.25">
      <c r="B153" s="212" t="s">
        <v>212</v>
      </c>
      <c r="C153" s="213">
        <f>IF(ALT_INVOER!$Z63&gt;0,IF(C$101&gt;D$101,C103/ALT_INVOER!$Z55*1000,D103/ALT_INVOER!$Z63*1000),0)</f>
        <v>294854.97322763642</v>
      </c>
      <c r="D153" s="1">
        <f t="shared" si="15"/>
        <v>37.397066114629503</v>
      </c>
      <c r="E153" s="213">
        <f>IF(ALT_INVOER!$Z63&gt;0,IF(E$101&gt;F$101,E103/ALT_INVOER!$Z55*1000,F103/ALT_INVOER!$Z63*1000),0)</f>
        <v>265566.45079866512</v>
      </c>
      <c r="F153" s="1">
        <f t="shared" si="15"/>
        <v>36.282310990936544</v>
      </c>
      <c r="G153" s="213">
        <f>IF(ALT_INVOER!$Z63&gt;0,IF(G$101&gt;H$101,G103/ALT_INVOER!$Z55*1000,H103/ALT_INVOER!$Z63*1000),0)</f>
        <v>235548.63118554931</v>
      </c>
      <c r="H153" s="1">
        <f t="shared" si="16"/>
        <v>34.945877209424673</v>
      </c>
      <c r="J153" s="213">
        <f t="shared" si="17"/>
        <v>51.838610275429851</v>
      </c>
    </row>
    <row r="154" spans="2:14" x14ac:dyDescent="0.25">
      <c r="B154" s="212" t="s">
        <v>202</v>
      </c>
      <c r="C154" s="213">
        <f>IF(ALT_INVOER!$Z72&gt;0,IF(C$101&gt;D$101,C104/ALT_INVOER!$Z72*1000,D104/ALT_INVOER!$Z72*1000),0)</f>
        <v>0</v>
      </c>
      <c r="D154" s="1">
        <f t="shared" si="15"/>
        <v>0</v>
      </c>
      <c r="E154" s="213">
        <f>IF(ALT_INVOER!$Z72&gt;0,IF(E$101&gt;F$101,E104/ALT_INVOER!$Z72*1000,F104/ALT_INVOER!$Z72*1000),0)</f>
        <v>0</v>
      </c>
      <c r="F154" s="1">
        <f t="shared" si="15"/>
        <v>0</v>
      </c>
      <c r="G154" s="212">
        <f>IF(ALT_INVOER!$Z72&gt;0,IF(G$101&gt;H$101,G104/ALT_INVOER!$Z72*1000,H104/ALT_INVOER!$Z72*1000),0)</f>
        <v>0</v>
      </c>
      <c r="H154" s="1">
        <f t="shared" si="16"/>
        <v>0</v>
      </c>
      <c r="J154" s="213">
        <f t="shared" si="17"/>
        <v>0</v>
      </c>
    </row>
    <row r="155" spans="2:14" x14ac:dyDescent="0.25">
      <c r="B155" s="212" t="s">
        <v>193</v>
      </c>
      <c r="C155" s="213">
        <f>IF($G61&gt;0,$C61/$G61*1000,0)</f>
        <v>219649.99999999997</v>
      </c>
      <c r="D155" s="1">
        <f t="shared" si="15"/>
        <v>27.858663810756628</v>
      </c>
      <c r="E155" s="213">
        <f>IF($G61&gt;0,$C61/$G61*1000,0)</f>
        <v>219649.99999999997</v>
      </c>
      <c r="F155" s="1">
        <f t="shared" si="15"/>
        <v>30.009097855515975</v>
      </c>
      <c r="G155" s="213">
        <f t="shared" ref="G155" si="18">IF($G61&gt;0,$C61/$G61*1000,0)</f>
        <v>219649.99999999997</v>
      </c>
      <c r="H155" s="1">
        <f t="shared" si="16"/>
        <v>32.587164231931375</v>
      </c>
      <c r="J155" s="213"/>
    </row>
    <row r="156" spans="2:14" x14ac:dyDescent="0.25">
      <c r="C156" s="213">
        <f>SUM(C151:C155)</f>
        <v>788444.13175046095</v>
      </c>
      <c r="D156" s="213">
        <f>SUM(D151:D155)</f>
        <v>99.999999999999986</v>
      </c>
      <c r="E156" s="213">
        <f t="shared" ref="E156" si="19">SUM(E151:E155)</f>
        <v>731944.69576374174</v>
      </c>
      <c r="F156" s="1">
        <f>SUM(F151:F155)</f>
        <v>100</v>
      </c>
      <c r="G156" s="213">
        <f t="shared" ref="G156" si="20">SUM(G151:G155)</f>
        <v>674038.39879006788</v>
      </c>
      <c r="H156" s="213">
        <f>SUM(H151:H155)</f>
        <v>100</v>
      </c>
    </row>
    <row r="157" spans="2:14" x14ac:dyDescent="0.25">
      <c r="B157" s="212" t="s">
        <v>203</v>
      </c>
      <c r="C157" s="212">
        <f>D17</f>
        <v>56480</v>
      </c>
      <c r="D157" s="213"/>
      <c r="E157" s="212">
        <f t="shared" ref="E157:G157" si="21">F17</f>
        <v>48000</v>
      </c>
      <c r="G157" s="212">
        <f t="shared" si="21"/>
        <v>39520</v>
      </c>
    </row>
    <row r="158" spans="2:14" x14ac:dyDescent="0.25">
      <c r="B158" s="212" t="s">
        <v>204</v>
      </c>
      <c r="C158" s="212">
        <f t="shared" ref="C158:G158" si="22">D18</f>
        <v>84500</v>
      </c>
      <c r="D158" s="213"/>
      <c r="E158" s="212">
        <f t="shared" si="22"/>
        <v>71825</v>
      </c>
      <c r="G158" s="212">
        <f t="shared" si="22"/>
        <v>59150</v>
      </c>
    </row>
    <row r="159" spans="2:14" x14ac:dyDescent="0.25">
      <c r="C159" s="213">
        <f>C156-C157-C158</f>
        <v>647464.13175046095</v>
      </c>
      <c r="D159" s="213"/>
      <c r="E159" s="213">
        <f t="shared" ref="E159:G159" si="23">E156-E157-E158</f>
        <v>612119.69576374174</v>
      </c>
      <c r="F159" s="213"/>
      <c r="G159" s="213">
        <f t="shared" si="23"/>
        <v>575368.39879006788</v>
      </c>
    </row>
    <row r="160" spans="2:14" x14ac:dyDescent="0.25">
      <c r="C160" s="1">
        <f>C159/(365*ALT_INVOER!$B7)</f>
        <v>17.738743335629067</v>
      </c>
      <c r="D160" s="213"/>
      <c r="E160" s="1">
        <f>E159/(365*ACHTER_INVOER!$B7)</f>
        <v>16.770402623664157</v>
      </c>
      <c r="F160" s="1"/>
      <c r="G160" s="1">
        <f>G159/(365*ACHTER_INVOER!$B7)</f>
        <v>15.763517775070353</v>
      </c>
      <c r="I160" s="213"/>
      <c r="J160" s="1"/>
      <c r="K160" s="213"/>
      <c r="L160" s="213"/>
      <c r="M160" s="213"/>
      <c r="N160" s="213"/>
    </row>
    <row r="161" spans="2:14" x14ac:dyDescent="0.25">
      <c r="B161" s="212" t="str">
        <f>B151</f>
        <v>Weidegras</v>
      </c>
      <c r="C161" s="1">
        <f>C$160*C151/C$156</f>
        <v>1.0468679094519588</v>
      </c>
      <c r="D161" s="213"/>
      <c r="E161" s="1">
        <f t="shared" ref="E161:G161" si="24">E$160*E151/E$156</f>
        <v>0.96021820579620565</v>
      </c>
      <c r="F161" s="1"/>
      <c r="G161" s="1">
        <f t="shared" si="24"/>
        <v>0.86932184400219614</v>
      </c>
      <c r="I161" s="213"/>
      <c r="J161" s="1"/>
      <c r="K161" s="213"/>
      <c r="L161" s="213"/>
      <c r="M161" s="213"/>
      <c r="N161" s="213"/>
    </row>
    <row r="162" spans="2:14" x14ac:dyDescent="0.25">
      <c r="B162" s="212" t="str">
        <f t="shared" ref="B162:B165" si="25">B152</f>
        <v>Grassilage</v>
      </c>
      <c r="C162" s="1">
        <f t="shared" ref="C162:G165" si="26">C$160*C152/C$156</f>
        <v>5.1163289829215728</v>
      </c>
      <c r="D162" s="213"/>
      <c r="E162" s="1">
        <f t="shared" si="26"/>
        <v>4.6928482494185459</v>
      </c>
      <c r="F162" s="1"/>
      <c r="G162" s="1">
        <f t="shared" si="26"/>
        <v>4.248612939414369</v>
      </c>
      <c r="I162" s="213"/>
      <c r="J162" s="1"/>
      <c r="K162" s="213"/>
      <c r="L162" s="213"/>
      <c r="M162" s="213"/>
      <c r="N162" s="213"/>
    </row>
    <row r="163" spans="2:14" x14ac:dyDescent="0.25">
      <c r="B163" s="212" t="str">
        <f t="shared" si="25"/>
        <v>Snijmais aanpassing nodig</v>
      </c>
      <c r="C163" s="1">
        <f t="shared" si="26"/>
        <v>6.6337695731296371</v>
      </c>
      <c r="D163" s="130"/>
      <c r="E163" s="1">
        <f t="shared" si="26"/>
        <v>6.0846896343500108</v>
      </c>
      <c r="F163" s="1"/>
      <c r="G163" s="1">
        <f t="shared" si="26"/>
        <v>5.5086995655619182</v>
      </c>
      <c r="I163" s="213"/>
      <c r="J163" s="1"/>
      <c r="K163" s="213"/>
      <c r="L163" s="213"/>
      <c r="M163" s="213"/>
      <c r="N163" s="213"/>
    </row>
    <row r="164" spans="2:14" x14ac:dyDescent="0.25">
      <c r="B164" s="212" t="str">
        <f t="shared" si="25"/>
        <v>Overige</v>
      </c>
      <c r="C164" s="1">
        <f t="shared" si="26"/>
        <v>0</v>
      </c>
      <c r="D164" s="213"/>
      <c r="E164" s="1">
        <f t="shared" si="26"/>
        <v>0</v>
      </c>
      <c r="F164" s="1"/>
      <c r="G164" s="1">
        <f t="shared" si="26"/>
        <v>0</v>
      </c>
      <c r="I164" s="213"/>
      <c r="J164" s="1"/>
      <c r="K164" s="213"/>
      <c r="L164" s="213"/>
      <c r="M164" s="213"/>
      <c r="N164" s="213"/>
    </row>
    <row r="165" spans="2:14" x14ac:dyDescent="0.25">
      <c r="B165" s="212" t="str">
        <f t="shared" si="25"/>
        <v>Krachtvoer + bijproducten</v>
      </c>
      <c r="C165" s="1">
        <f t="shared" si="26"/>
        <v>4.9417768701258984</v>
      </c>
      <c r="D165" s="213"/>
      <c r="E165" s="1">
        <f t="shared" si="26"/>
        <v>5.0326465340993956</v>
      </c>
      <c r="F165" s="1"/>
      <c r="G165" s="1">
        <f t="shared" si="26"/>
        <v>5.1368834260918703</v>
      </c>
      <c r="I165" s="213"/>
      <c r="J165" s="213"/>
      <c r="K165" s="213"/>
      <c r="L165" s="213"/>
      <c r="M165" s="213"/>
      <c r="N165" s="213"/>
    </row>
    <row r="166" spans="2:14" x14ac:dyDescent="0.25">
      <c r="C166" s="1">
        <f>SUM(C161:C165)</f>
        <v>17.738743335629067</v>
      </c>
      <c r="E166" s="1">
        <f>SUM(E161:E165)</f>
        <v>16.770402623664157</v>
      </c>
      <c r="G166" s="1">
        <f>SUM(G161:G165)</f>
        <v>15.763517775070355</v>
      </c>
    </row>
    <row r="167" spans="2:14" x14ac:dyDescent="0.25">
      <c r="C167" s="1">
        <f>365/(INVOERPAGINA!$F29*30.5)*C161</f>
        <v>2.2778347955288525</v>
      </c>
      <c r="E167" s="1">
        <f>365/(INVOERPAGINA!$F29*30.5)*E161</f>
        <v>2.0892974373509094</v>
      </c>
      <c r="G167" s="1">
        <f>365/(INVOERPAGINA!$F29*30.5)*G161</f>
        <v>1.8915199586336906</v>
      </c>
    </row>
    <row r="168" spans="2:14" x14ac:dyDescent="0.25">
      <c r="C168" s="102">
        <f>C166-C167</f>
        <v>15.460908540100215</v>
      </c>
      <c r="E168" s="1">
        <f>E166-E167</f>
        <v>14.681105186313248</v>
      </c>
      <c r="G168" s="1">
        <f>G166-G167</f>
        <v>13.871997816436664</v>
      </c>
    </row>
    <row r="170" spans="2:14" x14ac:dyDescent="0.25">
      <c r="C170" s="213">
        <f>C156-C151</f>
        <v>741913.39142076555</v>
      </c>
      <c r="E170" s="213">
        <f>E156-E151</f>
        <v>690035.9450748004</v>
      </c>
      <c r="G170" s="213">
        <f>G156-G151</f>
        <v>636866.7273316104</v>
      </c>
    </row>
    <row r="171" spans="2:14" x14ac:dyDescent="0.25">
      <c r="B171" s="212" t="str">
        <f>B152</f>
        <v>Grassilage</v>
      </c>
      <c r="C171" s="102">
        <f>C152/C$170</f>
        <v>0.30651612549766977</v>
      </c>
      <c r="D171" s="102"/>
      <c r="E171" s="102">
        <f>E152/E$170</f>
        <v>0.29682438391514909</v>
      </c>
      <c r="F171" s="102"/>
      <c r="G171" s="102">
        <f>G152/G$170</f>
        <v>0.28525292396295709</v>
      </c>
    </row>
    <row r="172" spans="2:14" x14ac:dyDescent="0.25">
      <c r="B172" s="212" t="str">
        <f t="shared" ref="B172:B174" si="27">B153</f>
        <v>Snijmais aanpassing nodig</v>
      </c>
      <c r="C172" s="102">
        <f t="shared" ref="C172:C174" si="28">C153/C$170</f>
        <v>0.39742505882389939</v>
      </c>
      <c r="D172" s="102"/>
      <c r="E172" s="102">
        <f t="shared" ref="E172:G174" si="29">E153/E$170</f>
        <v>0.38485886524342949</v>
      </c>
      <c r="F172" s="102"/>
      <c r="G172" s="102">
        <f t="shared" si="29"/>
        <v>0.36985545181873097</v>
      </c>
    </row>
    <row r="173" spans="2:14" x14ac:dyDescent="0.25">
      <c r="B173" s="212" t="str">
        <f t="shared" si="27"/>
        <v>Overige</v>
      </c>
      <c r="C173" s="102">
        <f t="shared" si="28"/>
        <v>0</v>
      </c>
      <c r="D173" s="102"/>
      <c r="E173" s="102">
        <f t="shared" si="29"/>
        <v>0</v>
      </c>
      <c r="F173" s="102"/>
      <c r="G173" s="102">
        <f t="shared" si="29"/>
        <v>0</v>
      </c>
    </row>
    <row r="174" spans="2:14" x14ac:dyDescent="0.25">
      <c r="B174" s="212" t="str">
        <f t="shared" si="27"/>
        <v>Krachtvoer + bijproducten</v>
      </c>
      <c r="C174" s="102">
        <f t="shared" si="28"/>
        <v>0.2960588156784309</v>
      </c>
      <c r="D174" s="102"/>
      <c r="E174" s="102">
        <f t="shared" si="29"/>
        <v>0.31831675084142136</v>
      </c>
      <c r="F174" s="102"/>
      <c r="G174" s="102">
        <f t="shared" si="29"/>
        <v>0.34489162421831204</v>
      </c>
    </row>
    <row r="175" spans="2:14" x14ac:dyDescent="0.25">
      <c r="C175" s="102">
        <f>SUM(C171:C174)</f>
        <v>1</v>
      </c>
      <c r="D175" s="102"/>
      <c r="E175" s="102">
        <f>SUM(E171:E174)</f>
        <v>1</v>
      </c>
      <c r="F175" s="102"/>
      <c r="G175" s="102">
        <f>SUM(G171:G174)</f>
        <v>1</v>
      </c>
    </row>
    <row r="176" spans="2:14" x14ac:dyDescent="0.25">
      <c r="E176" s="1"/>
    </row>
    <row r="177" spans="2:7" x14ac:dyDescent="0.25">
      <c r="B177" s="222" t="s">
        <v>205</v>
      </c>
      <c r="C177" s="223"/>
      <c r="D177" s="223"/>
      <c r="E177" s="224"/>
      <c r="F177" s="223"/>
      <c r="G177" s="225"/>
    </row>
    <row r="178" spans="2:7" x14ac:dyDescent="0.25">
      <c r="B178" s="3" t="str">
        <f>B161</f>
        <v>Weidegras</v>
      </c>
      <c r="C178" s="219">
        <f>C167</f>
        <v>2.2778347955288525</v>
      </c>
      <c r="D178" s="7"/>
      <c r="E178" s="219">
        <f>E167</f>
        <v>2.0892974373509094</v>
      </c>
      <c r="F178" s="7"/>
      <c r="G178" s="110">
        <f>G167</f>
        <v>1.8915199586336906</v>
      </c>
    </row>
    <row r="179" spans="2:7" x14ac:dyDescent="0.25">
      <c r="B179" s="3" t="str">
        <f>B162</f>
        <v>Grassilage</v>
      </c>
      <c r="C179" s="219">
        <f>C171*C$168</f>
        <v>4.7390177823853517</v>
      </c>
      <c r="D179" s="7"/>
      <c r="E179" s="219">
        <f>E171*E$168</f>
        <v>4.3577100021209301</v>
      </c>
      <c r="F179" s="7"/>
      <c r="G179" s="110">
        <f>G171*G$168</f>
        <v>3.9570279383463145</v>
      </c>
    </row>
    <row r="180" spans="2:7" x14ac:dyDescent="0.25">
      <c r="B180" s="3" t="str">
        <f>B163</f>
        <v>Snijmais aanpassing nodig</v>
      </c>
      <c r="C180" s="219">
        <f t="shared" ref="C180:C182" si="30">C172*C$168</f>
        <v>6.1445524860202561</v>
      </c>
      <c r="D180" s="7"/>
      <c r="E180" s="219">
        <f t="shared" ref="E180:G182" si="31">E172*E$168</f>
        <v>5.6501534825239439</v>
      </c>
      <c r="F180" s="7"/>
      <c r="G180" s="110">
        <f t="shared" si="31"/>
        <v>5.1306340200266316</v>
      </c>
    </row>
    <row r="181" spans="2:7" x14ac:dyDescent="0.25">
      <c r="B181" s="3" t="str">
        <f>B164</f>
        <v>Overige</v>
      </c>
      <c r="C181" s="219">
        <f t="shared" si="30"/>
        <v>0</v>
      </c>
      <c r="D181" s="7"/>
      <c r="E181" s="219">
        <f t="shared" si="31"/>
        <v>0</v>
      </c>
      <c r="F181" s="7"/>
      <c r="G181" s="110">
        <f t="shared" si="31"/>
        <v>0</v>
      </c>
    </row>
    <row r="182" spans="2:7" x14ac:dyDescent="0.25">
      <c r="B182" s="3" t="str">
        <f>B165</f>
        <v>Krachtvoer + bijproducten</v>
      </c>
      <c r="C182" s="219">
        <f t="shared" si="30"/>
        <v>4.5773382716946074</v>
      </c>
      <c r="D182" s="7"/>
      <c r="E182" s="219">
        <f t="shared" si="31"/>
        <v>4.6732417016683732</v>
      </c>
      <c r="F182" s="7"/>
      <c r="G182" s="110">
        <f t="shared" si="31"/>
        <v>4.7843358580637192</v>
      </c>
    </row>
    <row r="183" spans="2:7" x14ac:dyDescent="0.25">
      <c r="B183" s="3"/>
      <c r="C183" s="7"/>
      <c r="D183" s="7"/>
      <c r="E183" s="219"/>
      <c r="F183" s="7"/>
      <c r="G183" s="110"/>
    </row>
    <row r="184" spans="2:7" x14ac:dyDescent="0.25">
      <c r="B184" s="222" t="s">
        <v>206</v>
      </c>
      <c r="C184" s="223"/>
      <c r="D184" s="223"/>
      <c r="E184" s="224"/>
      <c r="F184" s="223"/>
      <c r="G184" s="226"/>
    </row>
    <row r="185" spans="2:7" x14ac:dyDescent="0.25">
      <c r="B185" s="3" t="str">
        <f>B179</f>
        <v>Grassilage</v>
      </c>
      <c r="C185" s="219">
        <f>C171*C$166</f>
        <v>5.437210878434632</v>
      </c>
      <c r="D185" s="7"/>
      <c r="E185" s="219">
        <f>E171*E$166</f>
        <v>4.9778644267781136</v>
      </c>
      <c r="F185" s="7"/>
      <c r="G185" s="110">
        <f>G171*G$166</f>
        <v>4.4965895372808662</v>
      </c>
    </row>
    <row r="186" spans="2:7" x14ac:dyDescent="0.25">
      <c r="B186" s="3" t="str">
        <f t="shared" ref="B186:B188" si="32">B180</f>
        <v>Snijmais aanpassing nodig</v>
      </c>
      <c r="C186" s="219">
        <f t="shared" ref="C186:C188" si="33">C172*C$166</f>
        <v>7.0498211136244349</v>
      </c>
      <c r="D186" s="7"/>
      <c r="E186" s="219">
        <f t="shared" ref="E186:G188" si="34">E172*E$166</f>
        <v>6.4542381234188202</v>
      </c>
      <c r="F186" s="7"/>
      <c r="G186" s="110">
        <f t="shared" si="34"/>
        <v>5.8302229889512427</v>
      </c>
    </row>
    <row r="187" spans="2:7" x14ac:dyDescent="0.25">
      <c r="B187" s="3" t="str">
        <f t="shared" si="32"/>
        <v>Overige</v>
      </c>
      <c r="C187" s="219">
        <f t="shared" si="33"/>
        <v>0</v>
      </c>
      <c r="D187" s="7"/>
      <c r="E187" s="219">
        <f t="shared" si="34"/>
        <v>0</v>
      </c>
      <c r="F187" s="7"/>
      <c r="G187" s="110">
        <f t="shared" si="34"/>
        <v>0</v>
      </c>
    </row>
    <row r="188" spans="2:7" x14ac:dyDescent="0.25">
      <c r="B188" s="24" t="str">
        <f t="shared" si="32"/>
        <v>Krachtvoer + bijproducten</v>
      </c>
      <c r="C188" s="220">
        <f t="shared" si="33"/>
        <v>5.2517113435700002</v>
      </c>
      <c r="D188" s="106"/>
      <c r="E188" s="220">
        <f t="shared" si="34"/>
        <v>5.3383000734672228</v>
      </c>
      <c r="F188" s="106"/>
      <c r="G188" s="221">
        <f t="shared" si="34"/>
        <v>5.4367052488382468</v>
      </c>
    </row>
  </sheetData>
  <sheetProtection password="9B8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"/>
  <sheetViews>
    <sheetView showGridLines="0" showRowColHeaders="0" tabSelected="1" zoomScaleNormal="100" workbookViewId="0">
      <pane ySplit="15" topLeftCell="A49" activePane="bottomLeft" state="frozen"/>
      <selection activeCell="B9" sqref="B9"/>
      <selection pane="bottomLeft" activeCell="M70" sqref="M70"/>
    </sheetView>
  </sheetViews>
  <sheetFormatPr defaultColWidth="8.85546875" defaultRowHeight="12.75" x14ac:dyDescent="0.2"/>
  <cols>
    <col min="1" max="1" width="3.42578125" style="286" customWidth="1"/>
    <col min="2" max="2" width="19.28515625" style="286" customWidth="1"/>
    <col min="3" max="3" width="8.42578125" style="286" customWidth="1"/>
    <col min="4" max="4" width="6.5703125" style="286" customWidth="1"/>
    <col min="5" max="5" width="9.85546875" style="286" customWidth="1"/>
    <col min="6" max="6" width="9" style="286" customWidth="1"/>
    <col min="7" max="7" width="7.28515625" style="286" customWidth="1"/>
    <col min="8" max="8" width="6.140625" style="286" customWidth="1"/>
    <col min="9" max="9" width="6.5703125" style="286" customWidth="1"/>
    <col min="10" max="10" width="8.85546875" style="286" customWidth="1"/>
    <col min="11" max="11" width="11.140625" style="286" customWidth="1"/>
    <col min="12" max="12" width="14.140625" style="286" customWidth="1"/>
    <col min="13" max="13" width="10.140625" style="286" customWidth="1"/>
    <col min="14" max="14" width="9.140625" style="286" customWidth="1"/>
    <col min="15" max="16" width="7.140625" style="286" customWidth="1"/>
    <col min="17" max="17" width="6.5703125" style="286" customWidth="1"/>
    <col min="18" max="18" width="6.7109375" style="286" customWidth="1"/>
    <col min="19" max="19" width="7.5703125" style="286" customWidth="1"/>
    <col min="20" max="20" width="6.7109375" style="286" customWidth="1"/>
    <col min="21" max="21" width="8.85546875" style="286" customWidth="1"/>
    <col min="22" max="25" width="8.85546875" style="286"/>
    <col min="26" max="26" width="10" style="286" bestFit="1" customWidth="1"/>
    <col min="27" max="29" width="0" style="286" hidden="1" customWidth="1"/>
    <col min="30" max="16384" width="8.85546875" style="286"/>
  </cols>
  <sheetData>
    <row r="1" spans="1:27" s="285" customFormat="1" ht="18.75" x14ac:dyDescent="0.3">
      <c r="A1" s="285" t="s">
        <v>208</v>
      </c>
    </row>
    <row r="2" spans="1:27" ht="15.75" x14ac:dyDescent="0.25">
      <c r="A2" s="460"/>
      <c r="B2" s="461"/>
      <c r="C2" s="462"/>
      <c r="D2" s="462"/>
      <c r="E2" s="462"/>
      <c r="F2" s="463"/>
      <c r="G2" s="464" t="s">
        <v>233</v>
      </c>
      <c r="H2" s="462"/>
      <c r="I2" s="462"/>
      <c r="J2" s="462"/>
      <c r="K2" s="462"/>
      <c r="L2" s="462"/>
      <c r="M2" s="462"/>
      <c r="N2" s="463"/>
      <c r="O2" s="463"/>
      <c r="P2" s="463"/>
      <c r="Q2" s="463"/>
      <c r="R2" s="463"/>
      <c r="S2" s="463"/>
      <c r="T2" s="463"/>
      <c r="AA2" s="291">
        <f>ALT_BEREKENING!C121</f>
        <v>4600.4907115673977</v>
      </c>
    </row>
    <row r="3" spans="1:27" ht="15.75" x14ac:dyDescent="0.25">
      <c r="A3" s="460"/>
      <c r="B3" s="461"/>
      <c r="C3" s="462"/>
      <c r="D3" s="462"/>
      <c r="E3" s="462"/>
      <c r="F3" s="463"/>
      <c r="G3" s="463"/>
      <c r="H3" s="463"/>
      <c r="I3" s="465"/>
      <c r="J3" s="465"/>
      <c r="K3" s="466" t="s">
        <v>264</v>
      </c>
      <c r="L3" s="465"/>
      <c r="M3" s="462"/>
      <c r="N3" s="463"/>
      <c r="O3" s="463"/>
      <c r="P3" s="463"/>
      <c r="Q3" s="463"/>
      <c r="R3" s="463"/>
      <c r="S3" s="463"/>
      <c r="T3" s="463"/>
      <c r="AA3" s="291"/>
    </row>
    <row r="4" spans="1:27" ht="15.75" x14ac:dyDescent="0.25">
      <c r="A4" s="462"/>
      <c r="B4" s="462"/>
      <c r="C4" s="464"/>
      <c r="D4" s="464"/>
      <c r="E4" s="462"/>
      <c r="F4" s="460" t="s">
        <v>326</v>
      </c>
      <c r="G4" s="463"/>
      <c r="H4" s="462"/>
      <c r="I4" s="465"/>
      <c r="J4" s="466" t="s">
        <v>148</v>
      </c>
      <c r="K4" s="466" t="s">
        <v>148</v>
      </c>
      <c r="L4" s="465"/>
      <c r="M4" s="465"/>
      <c r="N4" s="467"/>
      <c r="O4" s="463"/>
      <c r="P4" s="463"/>
      <c r="Q4" s="463"/>
      <c r="R4" s="463"/>
      <c r="S4" s="463"/>
      <c r="T4" s="463"/>
      <c r="AA4" s="291">
        <f>ALT_INVOER!U45/1000</f>
        <v>57960.5625</v>
      </c>
    </row>
    <row r="5" spans="1:27" ht="15.75" x14ac:dyDescent="0.25">
      <c r="A5" s="462"/>
      <c r="B5" s="468"/>
      <c r="C5" s="469"/>
      <c r="D5" s="470" t="s">
        <v>265</v>
      </c>
      <c r="E5" s="471"/>
      <c r="F5" s="472" t="s">
        <v>2</v>
      </c>
      <c r="G5" s="472" t="s">
        <v>3</v>
      </c>
      <c r="H5" s="472" t="s">
        <v>90</v>
      </c>
      <c r="I5" s="473"/>
      <c r="J5" s="472" t="s">
        <v>327</v>
      </c>
      <c r="K5" s="474" t="s">
        <v>328</v>
      </c>
      <c r="L5" s="475"/>
      <c r="M5" s="465"/>
      <c r="N5" s="467"/>
      <c r="O5" s="463"/>
      <c r="P5" s="463"/>
      <c r="Q5" s="463"/>
      <c r="R5" s="463"/>
      <c r="S5" s="463"/>
      <c r="T5" s="463"/>
      <c r="AA5" s="401">
        <f>(ALT_INVOER!U54-ALT_INVOER!Y54+ALT_INVOER!U63-ALT_INVOER!Y63+ALT_INVOER!U72-ALT_INVOER!Y72)/1000</f>
        <v>0</v>
      </c>
    </row>
    <row r="6" spans="1:27" ht="21.2" x14ac:dyDescent="0.2">
      <c r="A6" s="463"/>
      <c r="B6" s="476" t="s">
        <v>263</v>
      </c>
      <c r="C6" s="477">
        <f>BEREKENING!D124</f>
        <v>26.903253293420349</v>
      </c>
      <c r="D6" s="478" t="s">
        <v>215</v>
      </c>
      <c r="E6" s="463"/>
      <c r="F6" s="479">
        <f>BEREKENING!L109</f>
        <v>949.78286566544853</v>
      </c>
      <c r="G6" s="480">
        <f>BEREKENING!N109</f>
        <v>4.2166077506298461</v>
      </c>
      <c r="H6" s="479">
        <f>BEREKENING!M109</f>
        <v>165.66788636608047</v>
      </c>
      <c r="I6" s="463"/>
      <c r="J6" s="481">
        <f>ACHTER_INVOER!O45/ACHTER_INVOER!B7</f>
        <v>2196.5</v>
      </c>
      <c r="K6" s="482">
        <f>ACHTER_INVOER!O45/(ACHTER_INVOER!B8)*100</f>
        <v>29.823489477257297</v>
      </c>
      <c r="L6" s="463"/>
      <c r="M6" s="483"/>
      <c r="N6" s="484"/>
      <c r="O6" s="463"/>
      <c r="P6" s="463"/>
      <c r="Q6" s="463"/>
      <c r="R6" s="463"/>
      <c r="S6" s="463"/>
      <c r="T6" s="463"/>
      <c r="AA6" s="401"/>
    </row>
    <row r="7" spans="1:27" ht="21.2" x14ac:dyDescent="0.35">
      <c r="A7" s="463"/>
      <c r="B7" s="476" t="s">
        <v>267</v>
      </c>
      <c r="C7" s="485">
        <f>ALT_BEREKENING!D124</f>
        <v>26.89734722897219</v>
      </c>
      <c r="D7" s="486" t="s">
        <v>215</v>
      </c>
      <c r="E7" s="487" t="s">
        <v>268</v>
      </c>
      <c r="F7" s="479">
        <f>ALT_BEREKENING!L109</f>
        <v>949.78286566544853</v>
      </c>
      <c r="G7" s="480">
        <f>ALT_BEREKENING!N109</f>
        <v>4.2175336247287234</v>
      </c>
      <c r="H7" s="479">
        <f>ALT_BEREKENING!M109</f>
        <v>165.66788636608047</v>
      </c>
      <c r="I7" s="463"/>
      <c r="J7" s="481">
        <f>ALT_INVOER!O45/ALT_INVOER!B7</f>
        <v>2196.5</v>
      </c>
      <c r="K7" s="482">
        <f>ALT_INVOER!O45/(ALT_INVOER!B8*ALT_INVOER!B7)*100</f>
        <v>29.823489477257297</v>
      </c>
      <c r="L7" s="463"/>
      <c r="M7" s="463"/>
      <c r="N7" s="463"/>
      <c r="O7" s="463"/>
      <c r="P7" s="463"/>
      <c r="Q7" s="463"/>
      <c r="R7" s="463"/>
      <c r="S7" s="463"/>
      <c r="T7" s="463"/>
      <c r="AA7" s="317"/>
    </row>
    <row r="8" spans="1:27" ht="15" customHeight="1" x14ac:dyDescent="0.2">
      <c r="A8" s="463"/>
      <c r="B8" s="463"/>
      <c r="C8" s="463"/>
      <c r="D8" s="488"/>
      <c r="E8" s="467"/>
      <c r="F8" s="489"/>
      <c r="G8" s="490"/>
      <c r="H8" s="491"/>
      <c r="I8" s="463"/>
      <c r="J8" s="463"/>
      <c r="K8" s="492"/>
      <c r="L8" s="463"/>
      <c r="M8" s="493"/>
      <c r="N8" s="494"/>
      <c r="O8" s="463"/>
      <c r="P8" s="463"/>
      <c r="Q8" s="463"/>
      <c r="R8" s="463"/>
      <c r="S8" s="463"/>
      <c r="T8" s="467"/>
      <c r="U8" s="298"/>
      <c r="AA8" s="317">
        <f>ALT_BEREKENING!C124</f>
        <v>22.012781306144884</v>
      </c>
    </row>
    <row r="9" spans="1:27" ht="15.75" x14ac:dyDescent="0.25">
      <c r="A9" s="463"/>
      <c r="B9" s="495" t="s">
        <v>260</v>
      </c>
      <c r="C9" s="496">
        <f>IF(INVOERPAGINA!C11=LIJSTJES!B10,29,IF(INVOERPAGINA!C11=LIJSTJES!B11,29,IF(INVOERPAGINA!C11=LIJSTJES!B16,29,IF(INVOERPAGINA!C11=LIJSTJES!B17,29,IF(INVOERPAGINA!C11=LIJSTJES!B18,CBS2008NW,32)))))</f>
        <v>29</v>
      </c>
      <c r="D9" s="497" t="s">
        <v>215</v>
      </c>
      <c r="E9" s="465" t="str">
        <f>IF(C9&gt;C7, "U presteert onder het gemiddelde van Uw regio","U presteert beter dan het gemiddelde van Uw regio")</f>
        <v>U presteert onder het gemiddelde van Uw regio</v>
      </c>
      <c r="F9" s="462"/>
      <c r="G9" s="498"/>
      <c r="H9" s="465"/>
      <c r="I9" s="462"/>
      <c r="J9" s="499"/>
      <c r="K9" s="494"/>
      <c r="L9" s="493"/>
      <c r="M9" s="494"/>
      <c r="N9" s="463"/>
      <c r="O9" s="463"/>
      <c r="P9" s="463"/>
      <c r="Q9" s="463"/>
      <c r="R9" s="463"/>
      <c r="S9" s="463"/>
      <c r="T9" s="467"/>
      <c r="U9" s="298"/>
      <c r="AA9" s="317"/>
    </row>
    <row r="10" spans="1:27" ht="15.75" x14ac:dyDescent="0.25">
      <c r="A10" s="467"/>
      <c r="B10" s="500" t="s">
        <v>261</v>
      </c>
      <c r="C10" s="501">
        <f>IF(ALT_BEREKENING!J153&gt;40,32,29)</f>
        <v>32</v>
      </c>
      <c r="D10" s="502" t="s">
        <v>215</v>
      </c>
      <c r="E10" s="465" t="str">
        <f>IF(C10&gt;C9,"snijmaisrijk rantsoen", "snijmaisarm rantsoen")</f>
        <v>snijmaisrijk rantsoen</v>
      </c>
      <c r="F10" s="499"/>
      <c r="G10" s="463"/>
      <c r="H10" s="503" t="str">
        <f>IF(C10&gt;C7, "U presteert onder het gemiddelde van bedrijven met ook een snijmaisrijk rantsoen","U presteert beter dan het gemiddelde van  bedrijven met ook een snijmaisarmrantsoen")</f>
        <v>U presteert onder het gemiddelde van bedrijven met ook een snijmaisrijk rantsoen</v>
      </c>
      <c r="I10" s="504"/>
      <c r="J10" s="465"/>
      <c r="K10" s="505"/>
      <c r="L10" s="467"/>
      <c r="M10" s="467"/>
      <c r="N10" s="463"/>
      <c r="O10" s="463"/>
      <c r="P10" s="463"/>
      <c r="Q10" s="463"/>
      <c r="R10" s="463"/>
      <c r="S10" s="463"/>
      <c r="T10" s="467"/>
      <c r="U10" s="298"/>
      <c r="AA10" s="317"/>
    </row>
    <row r="11" spans="1:27" ht="15.75" x14ac:dyDescent="0.25">
      <c r="A11" s="467"/>
      <c r="B11" s="500" t="s">
        <v>308</v>
      </c>
      <c r="C11" s="501">
        <f>IF(INVOERPAGINA!C11=LIJSTJES!B10,30,IF(INVOERPAGINA!C11=LIJSTJES!B11,30,IF(INVOERPAGINA!C11=LIJSTJES!B16,30,IF(INVOERPAGINA!C11=LIJSTJES!B17,30,IF(INVOERPAGINA!C11=LIJSTJES!B18,CBS2008NW,34)))))</f>
        <v>30</v>
      </c>
      <c r="D11" s="502" t="s">
        <v>215</v>
      </c>
      <c r="E11" s="465" t="str">
        <f>IF(C11&gt;C7,"U presteert nog beneden de gewenste streefwaarde voor 2011","U presteert al boven de gewenste streefwaarde voor 2011")</f>
        <v>U presteert nog beneden de gewenste streefwaarde voor 2011</v>
      </c>
      <c r="F11" s="499"/>
      <c r="G11" s="484"/>
      <c r="H11" s="467"/>
      <c r="I11" s="491"/>
      <c r="J11" s="467"/>
      <c r="K11" s="505"/>
      <c r="L11" s="467"/>
      <c r="M11" s="467"/>
      <c r="N11" s="463"/>
      <c r="O11" s="463"/>
      <c r="P11" s="463"/>
      <c r="Q11" s="463"/>
      <c r="R11" s="463"/>
      <c r="S11" s="463"/>
      <c r="T11" s="467"/>
      <c r="U11" s="298"/>
      <c r="AA11" s="317"/>
    </row>
    <row r="12" spans="1:27" ht="15.75" x14ac:dyDescent="0.25">
      <c r="A12" s="467"/>
      <c r="B12" s="500" t="s">
        <v>262</v>
      </c>
      <c r="C12" s="501">
        <f>IF(INVOERPAGINA!C11=LIJSTJES!B10,31,IF(INVOERPAGINA!C11=LIJSTJES!B11,31,IF(INVOERPAGINA!C11=LIJSTJES!B16,31,IF(INVOERPAGINA!C11=LIJSTJES!B17,31,IF(INVOERPAGINA!C11=LIJSTJES!B18,CBS2008NW,36)))))</f>
        <v>31</v>
      </c>
      <c r="D12" s="502" t="s">
        <v>215</v>
      </c>
      <c r="E12" s="465" t="str">
        <f>IF(C12&gt;C7,"U presteert nog beneden de gewenste streefwaarde voor 2013","U presteert al boven de gewenste streefwaarde voor 2013")</f>
        <v>U presteert nog beneden de gewenste streefwaarde voor 2013</v>
      </c>
      <c r="F12" s="499"/>
      <c r="G12" s="484"/>
      <c r="H12" s="467"/>
      <c r="I12" s="491"/>
      <c r="J12" s="506"/>
      <c r="K12" s="506"/>
      <c r="L12" s="506"/>
      <c r="M12" s="467"/>
      <c r="N12" s="463"/>
      <c r="O12" s="463"/>
      <c r="P12" s="463"/>
      <c r="Q12" s="467"/>
      <c r="R12" s="463"/>
      <c r="S12" s="463"/>
      <c r="T12" s="463"/>
      <c r="AA12" s="317"/>
    </row>
    <row r="13" spans="1:27" ht="15.75" x14ac:dyDescent="0.25">
      <c r="A13" s="467"/>
      <c r="B13" s="495"/>
      <c r="C13" s="465"/>
      <c r="D13" s="507"/>
      <c r="E13" s="465"/>
      <c r="F13" s="499"/>
      <c r="G13" s="484"/>
      <c r="H13" s="467"/>
      <c r="I13" s="491"/>
      <c r="J13" s="506"/>
      <c r="K13" s="506"/>
      <c r="L13" s="506"/>
      <c r="M13" s="467"/>
      <c r="N13" s="467"/>
      <c r="O13" s="467"/>
      <c r="P13" s="463"/>
      <c r="Q13" s="467"/>
      <c r="R13" s="463"/>
      <c r="S13" s="463"/>
      <c r="T13" s="463"/>
      <c r="AA13" s="317"/>
    </row>
    <row r="14" spans="1:27" ht="15.75" x14ac:dyDescent="0.25">
      <c r="A14" s="463"/>
      <c r="B14" s="462" t="s">
        <v>329</v>
      </c>
      <c r="C14" s="463"/>
      <c r="D14" s="488"/>
      <c r="E14" s="467"/>
      <c r="F14" s="489"/>
      <c r="G14" s="490"/>
      <c r="H14" s="491"/>
      <c r="I14" s="463"/>
      <c r="J14" s="463"/>
      <c r="K14" s="492"/>
      <c r="L14" s="463"/>
      <c r="M14" s="493"/>
      <c r="N14" s="494"/>
      <c r="O14" s="463"/>
      <c r="P14" s="463"/>
      <c r="Q14" s="463"/>
      <c r="R14" s="463"/>
      <c r="S14" s="463"/>
      <c r="T14" s="467"/>
      <c r="U14" s="298"/>
      <c r="AA14" s="317"/>
    </row>
    <row r="15" spans="1:27" x14ac:dyDescent="0.2">
      <c r="B15" s="300"/>
      <c r="E15" s="317"/>
      <c r="F15" s="317"/>
      <c r="M15" s="317"/>
      <c r="N15" s="390"/>
      <c r="O15" s="297"/>
      <c r="P15" s="287"/>
      <c r="Q15" s="287"/>
      <c r="R15" s="319"/>
    </row>
    <row r="16" spans="1:27" ht="15.75" x14ac:dyDescent="0.25">
      <c r="A16" s="457" t="s">
        <v>235</v>
      </c>
      <c r="B16" s="455"/>
      <c r="C16" s="454"/>
      <c r="D16" s="427"/>
      <c r="E16" s="428"/>
      <c r="F16" s="428"/>
      <c r="G16" s="427"/>
      <c r="H16" s="427"/>
      <c r="I16" s="427"/>
      <c r="J16" s="457" t="s">
        <v>317</v>
      </c>
      <c r="K16" s="427"/>
      <c r="L16" s="427"/>
      <c r="M16" s="456"/>
      <c r="N16" s="296"/>
      <c r="O16" s="317"/>
      <c r="P16" s="317"/>
    </row>
    <row r="17" spans="1:18" ht="15.75" x14ac:dyDescent="0.25">
      <c r="A17" s="427"/>
      <c r="B17" s="455"/>
      <c r="C17" s="427"/>
      <c r="D17" s="427"/>
      <c r="E17" s="428"/>
      <c r="F17" s="428"/>
      <c r="G17" s="427"/>
      <c r="H17" s="427"/>
      <c r="I17" s="427"/>
      <c r="J17" s="457" t="s">
        <v>318</v>
      </c>
      <c r="K17" s="427"/>
      <c r="L17" s="427"/>
      <c r="M17" s="456"/>
      <c r="N17" s="296"/>
      <c r="O17" s="317"/>
      <c r="P17" s="317"/>
    </row>
    <row r="18" spans="1:18" ht="18.75" x14ac:dyDescent="0.3">
      <c r="A18" s="410" t="str">
        <f>INVOERPAGINA!A27</f>
        <v>Beweiding, ruwvoeropname &amp; rantsoen</v>
      </c>
      <c r="F18" s="317"/>
      <c r="J18" s="457" t="s">
        <v>319</v>
      </c>
    </row>
    <row r="19" spans="1:18" ht="12.6" customHeight="1" x14ac:dyDescent="0.2">
      <c r="A19" s="508"/>
      <c r="B19" s="505"/>
      <c r="C19" s="463"/>
      <c r="D19" s="463"/>
      <c r="E19" s="463"/>
      <c r="F19" s="463"/>
      <c r="G19" s="463"/>
    </row>
    <row r="20" spans="1:18" ht="12.6" customHeight="1" x14ac:dyDescent="0.3">
      <c r="A20" s="508"/>
      <c r="B20" s="604" t="str">
        <f>INVOERPAGINA!B29</f>
        <v>Beperkt weiden (&gt; 6 uur/d weiden)</v>
      </c>
      <c r="C20" s="605">
        <f>INVOERPAGINA!C29</f>
        <v>0</v>
      </c>
      <c r="D20" s="606">
        <f>INVOERPAGINA!D29</f>
        <v>0</v>
      </c>
      <c r="E20" s="492" t="str">
        <f>INVOERPAGINA!E29</f>
        <v>gedurende</v>
      </c>
      <c r="F20" s="509">
        <f>INVOERPAGINA!F29</f>
        <v>5.5</v>
      </c>
      <c r="G20" s="510" t="str">
        <f>INVOERPAGINA!G29</f>
        <v>maanden</v>
      </c>
      <c r="I20" s="287" t="s">
        <v>66</v>
      </c>
      <c r="J20" s="564" t="s">
        <v>214</v>
      </c>
      <c r="K20" s="600"/>
      <c r="L20" s="600"/>
      <c r="M20" s="296" t="s">
        <v>65</v>
      </c>
      <c r="N20" s="333">
        <v>5.5</v>
      </c>
      <c r="O20" s="297" t="s">
        <v>1</v>
      </c>
    </row>
    <row r="21" spans="1:18" ht="12.6" customHeight="1" x14ac:dyDescent="0.3">
      <c r="A21" s="467"/>
      <c r="B21" s="463"/>
      <c r="C21" s="463"/>
      <c r="D21" s="463"/>
      <c r="E21" s="463"/>
      <c r="F21" s="463"/>
      <c r="G21" s="463"/>
    </row>
    <row r="22" spans="1:18" x14ac:dyDescent="0.2">
      <c r="A22" s="483" t="str">
        <f>INVOERPAGINA!A31</f>
        <v>Bijvoeding naast weidegang met ruwvoer exclusief natte bijproducten/vochtige krachtvoeders</v>
      </c>
      <c r="B22" s="463"/>
      <c r="C22" s="463"/>
      <c r="D22" s="463"/>
      <c r="E22" s="463"/>
      <c r="F22" s="463"/>
      <c r="G22" s="463"/>
      <c r="I22" s="402"/>
      <c r="N22" s="303"/>
    </row>
    <row r="23" spans="1:18" x14ac:dyDescent="0.2">
      <c r="A23" s="492"/>
      <c r="B23" s="601" t="str">
        <f>INVOERPAGINA!B32</f>
        <v>Graskuil, hooi</v>
      </c>
      <c r="C23" s="602">
        <f>INVOERPAGINA!C32</f>
        <v>0</v>
      </c>
      <c r="D23" s="603">
        <f>INVOERPAGINA!D32</f>
        <v>0</v>
      </c>
      <c r="E23" s="511">
        <f>INVOERPAGINA!E32</f>
        <v>5</v>
      </c>
      <c r="F23" s="463" t="str">
        <f>INVOERPAGINA!F32</f>
        <v>kg/ds/koe</v>
      </c>
      <c r="G23" s="463"/>
      <c r="I23" s="296"/>
      <c r="J23" s="545" t="str">
        <f>B23</f>
        <v>Graskuil, hooi</v>
      </c>
      <c r="K23" s="546"/>
      <c r="L23" s="547"/>
      <c r="M23" s="408">
        <v>5</v>
      </c>
      <c r="N23" s="286" t="s">
        <v>221</v>
      </c>
    </row>
    <row r="24" spans="1:18" ht="15" x14ac:dyDescent="0.25">
      <c r="A24" s="492"/>
      <c r="B24" s="601" t="str">
        <f>INVOERPAGINA!B33</f>
        <v>Snijmaiskuil, Graan-GPS</v>
      </c>
      <c r="C24" s="609">
        <f>INVOERPAGINA!C33</f>
        <v>0</v>
      </c>
      <c r="D24" s="610">
        <f>INVOERPAGINA!D33</f>
        <v>0</v>
      </c>
      <c r="E24" s="511">
        <f>INVOERPAGINA!E33</f>
        <v>5</v>
      </c>
      <c r="F24" s="463" t="str">
        <f>INVOERPAGINA!F33</f>
        <v>kg/ds/koe</v>
      </c>
      <c r="G24" s="463"/>
      <c r="I24" s="296"/>
      <c r="J24" s="545" t="str">
        <f t="shared" ref="J24:J25" si="0">B24</f>
        <v>Snijmaiskuil, Graan-GPS</v>
      </c>
      <c r="K24" s="548"/>
      <c r="L24" s="549"/>
      <c r="M24" s="408">
        <v>5</v>
      </c>
      <c r="N24" s="286" t="s">
        <v>221</v>
      </c>
    </row>
    <row r="25" spans="1:18" ht="15" x14ac:dyDescent="0.25">
      <c r="A25" s="492"/>
      <c r="B25" s="601" t="str">
        <f>INVOERPAGINA!B34</f>
        <v>Overige ruwvoeders</v>
      </c>
      <c r="C25" s="609">
        <f>INVOERPAGINA!C34</f>
        <v>0</v>
      </c>
      <c r="D25" s="610">
        <f>INVOERPAGINA!D34</f>
        <v>0</v>
      </c>
      <c r="E25" s="511">
        <f>INVOERPAGINA!E34</f>
        <v>0</v>
      </c>
      <c r="F25" s="463" t="str">
        <f>INVOERPAGINA!F34</f>
        <v>kg/ds/koe</v>
      </c>
      <c r="G25" s="463"/>
      <c r="I25" s="296"/>
      <c r="J25" s="545" t="str">
        <f t="shared" si="0"/>
        <v>Overige ruwvoeders</v>
      </c>
      <c r="K25" s="548"/>
      <c r="L25" s="549"/>
      <c r="M25" s="408">
        <v>0</v>
      </c>
      <c r="N25" s="286" t="s">
        <v>221</v>
      </c>
    </row>
    <row r="26" spans="1:18" ht="13.9" x14ac:dyDescent="0.3">
      <c r="A26" s="467"/>
      <c r="B26" s="463"/>
      <c r="C26" s="463"/>
      <c r="D26" s="463"/>
      <c r="E26" s="463"/>
      <c r="F26" s="463"/>
      <c r="G26" s="463"/>
      <c r="I26" s="298"/>
    </row>
    <row r="27" spans="1:18" ht="18" x14ac:dyDescent="0.35">
      <c r="A27" s="512" t="str">
        <f>INVOERPAGINA!A36</f>
        <v>Stalrantsoen</v>
      </c>
      <c r="B27" s="513"/>
      <c r="C27" s="513"/>
      <c r="D27" s="513"/>
      <c r="E27" s="513"/>
      <c r="F27" s="514"/>
      <c r="G27" s="513"/>
      <c r="I27" s="410"/>
      <c r="N27" s="299"/>
    </row>
    <row r="28" spans="1:18" ht="18" x14ac:dyDescent="0.35">
      <c r="A28" s="512"/>
      <c r="B28" s="513"/>
      <c r="C28" s="513"/>
      <c r="D28" s="513"/>
      <c r="E28" s="513"/>
      <c r="F28" s="514"/>
      <c r="G28" s="513"/>
      <c r="I28" s="410"/>
      <c r="N28" s="299"/>
    </row>
    <row r="29" spans="1:18" ht="13.9" x14ac:dyDescent="0.3">
      <c r="A29" s="463"/>
      <c r="B29" s="513"/>
      <c r="C29" s="513"/>
      <c r="D29" s="515" t="str">
        <f>INVOERPAGINA!D37</f>
        <v xml:space="preserve">Opname ruwvoer </v>
      </c>
      <c r="E29" s="516">
        <f>INVOERPAGINA!E37</f>
        <v>15.5</v>
      </c>
      <c r="F29" s="513" t="s">
        <v>239</v>
      </c>
      <c r="G29" s="513"/>
      <c r="L29" s="288"/>
      <c r="M29" s="288"/>
      <c r="N29" s="288"/>
    </row>
    <row r="30" spans="1:18" x14ac:dyDescent="0.2">
      <c r="A30" s="463"/>
      <c r="B30" s="513"/>
      <c r="C30" s="513"/>
      <c r="D30" s="515"/>
      <c r="E30" s="517"/>
      <c r="F30" s="513"/>
      <c r="G30" s="518"/>
      <c r="H30" s="298"/>
      <c r="P30" s="395" t="s">
        <v>226</v>
      </c>
    </row>
    <row r="31" spans="1:18" x14ac:dyDescent="0.2">
      <c r="A31" s="463"/>
      <c r="B31" s="513"/>
      <c r="C31" s="513"/>
      <c r="D31" s="513"/>
      <c r="E31" s="513" t="s">
        <v>324</v>
      </c>
      <c r="F31" s="513"/>
      <c r="G31" s="518"/>
      <c r="H31" s="298"/>
      <c r="M31" s="389" t="s">
        <v>324</v>
      </c>
      <c r="O31" s="306"/>
      <c r="P31" s="306" t="s">
        <v>227</v>
      </c>
      <c r="Q31" s="306"/>
      <c r="R31" s="306"/>
    </row>
    <row r="32" spans="1:18" x14ac:dyDescent="0.2">
      <c r="A32" s="463"/>
      <c r="B32" s="513" t="s">
        <v>191</v>
      </c>
      <c r="C32" s="513"/>
      <c r="D32" s="513"/>
      <c r="E32" s="519" t="s">
        <v>325</v>
      </c>
      <c r="F32" s="513"/>
      <c r="G32" s="517"/>
      <c r="H32" s="298"/>
      <c r="I32" s="296"/>
      <c r="J32" s="389" t="s">
        <v>191</v>
      </c>
      <c r="M32" s="419" t="s">
        <v>325</v>
      </c>
      <c r="O32" s="306" t="s">
        <v>150</v>
      </c>
      <c r="P32" s="306" t="s">
        <v>2</v>
      </c>
      <c r="Q32" s="306" t="s">
        <v>3</v>
      </c>
      <c r="R32" s="306" t="s">
        <v>90</v>
      </c>
    </row>
    <row r="33" spans="1:19" ht="13.9" x14ac:dyDescent="0.3">
      <c r="A33" s="492"/>
      <c r="B33" s="601" t="str">
        <f>INVOERPAGINA!B41</f>
        <v>Graskuil hooi</v>
      </c>
      <c r="C33" s="602">
        <f>INVOERPAGINA!C41</f>
        <v>0</v>
      </c>
      <c r="D33" s="603">
        <f>INVOERPAGINA!D41</f>
        <v>0</v>
      </c>
      <c r="E33" s="520">
        <f>INVOERPAGINA!E41</f>
        <v>40</v>
      </c>
      <c r="F33" s="513" t="str">
        <f>INVOERPAGINA!F41</f>
        <v>%</v>
      </c>
      <c r="G33" s="517"/>
      <c r="H33" s="298"/>
      <c r="I33" s="296"/>
      <c r="J33" s="545" t="str">
        <f>B33</f>
        <v>Graskuil hooi</v>
      </c>
      <c r="K33" s="546">
        <v>0</v>
      </c>
      <c r="L33" s="547">
        <v>0</v>
      </c>
      <c r="M33" s="335">
        <v>40</v>
      </c>
      <c r="N33" s="303" t="s">
        <v>215</v>
      </c>
      <c r="O33" s="341">
        <v>410</v>
      </c>
      <c r="P33" s="342">
        <v>875</v>
      </c>
      <c r="Q33" s="343">
        <v>4.2</v>
      </c>
      <c r="R33" s="334">
        <v>175</v>
      </c>
    </row>
    <row r="34" spans="1:19" ht="14.45" x14ac:dyDescent="0.3">
      <c r="A34" s="492"/>
      <c r="B34" s="601" t="str">
        <f>INVOERPAGINA!B42</f>
        <v>Snijmaiskuil, Graan-GPS</v>
      </c>
      <c r="C34" s="609">
        <f>INVOERPAGINA!C42</f>
        <v>0</v>
      </c>
      <c r="D34" s="610">
        <f>INVOERPAGINA!D42</f>
        <v>0</v>
      </c>
      <c r="E34" s="520">
        <f>INVOERPAGINA!E42</f>
        <v>60</v>
      </c>
      <c r="F34" s="513" t="str">
        <f>INVOERPAGINA!F42</f>
        <v>%</v>
      </c>
      <c r="G34" s="517"/>
      <c r="H34" s="298"/>
      <c r="I34" s="296"/>
      <c r="J34" s="545" t="str">
        <f>B34</f>
        <v>Snijmaiskuil, Graan-GPS</v>
      </c>
      <c r="K34" s="546">
        <v>0</v>
      </c>
      <c r="L34" s="547">
        <v>0</v>
      </c>
      <c r="M34" s="335">
        <v>60</v>
      </c>
      <c r="N34" s="303" t="s">
        <v>215</v>
      </c>
      <c r="O34" s="341">
        <v>332</v>
      </c>
      <c r="P34" s="342">
        <v>925</v>
      </c>
      <c r="Q34" s="343">
        <v>2</v>
      </c>
      <c r="R34" s="334">
        <v>78.125</v>
      </c>
    </row>
    <row r="35" spans="1:19" ht="14.45" x14ac:dyDescent="0.3">
      <c r="A35" s="492"/>
      <c r="B35" s="601" t="str">
        <f>INVOERPAGINA!B43</f>
        <v>Overige ruwvoeders</v>
      </c>
      <c r="C35" s="609">
        <f>INVOERPAGINA!C43</f>
        <v>0</v>
      </c>
      <c r="D35" s="610">
        <f>INVOERPAGINA!D43</f>
        <v>0</v>
      </c>
      <c r="E35" s="520">
        <f>INVOERPAGINA!E43</f>
        <v>0</v>
      </c>
      <c r="F35" s="513" t="str">
        <f>INVOERPAGINA!F43</f>
        <v>%</v>
      </c>
      <c r="G35" s="517"/>
      <c r="H35" s="298"/>
      <c r="I35" s="402"/>
      <c r="J35" s="545" t="str">
        <f>B35</f>
        <v>Overige ruwvoeders</v>
      </c>
      <c r="K35" s="546">
        <v>0</v>
      </c>
      <c r="L35" s="547">
        <v>0</v>
      </c>
      <c r="M35" s="335">
        <v>0</v>
      </c>
      <c r="N35" s="303" t="s">
        <v>215</v>
      </c>
      <c r="O35" s="341">
        <v>840</v>
      </c>
      <c r="P35" s="342">
        <v>375</v>
      </c>
      <c r="Q35" s="343">
        <v>1.2</v>
      </c>
      <c r="R35" s="334">
        <v>44.375</v>
      </c>
    </row>
    <row r="36" spans="1:19" x14ac:dyDescent="0.2">
      <c r="A36" s="483"/>
      <c r="B36" s="513"/>
      <c r="C36" s="515"/>
      <c r="D36" s="515" t="s">
        <v>139</v>
      </c>
      <c r="E36" s="521">
        <f>INVOERPAGINA!E44</f>
        <v>100</v>
      </c>
      <c r="F36" s="513"/>
      <c r="G36" s="522"/>
      <c r="H36" s="298"/>
      <c r="I36" s="402"/>
      <c r="K36" s="287"/>
      <c r="L36" s="287" t="s">
        <v>216</v>
      </c>
      <c r="M36" s="425">
        <f>SUM(M33:M35)</f>
        <v>100</v>
      </c>
      <c r="O36" s="291"/>
    </row>
    <row r="37" spans="1:19" ht="26.45" x14ac:dyDescent="0.4">
      <c r="A37" s="483"/>
      <c r="B37" s="513"/>
      <c r="C37" s="515"/>
      <c r="D37" s="515"/>
      <c r="E37" s="521"/>
      <c r="F37" s="513"/>
      <c r="G37" s="523"/>
      <c r="K37" s="287"/>
      <c r="L37" s="288"/>
      <c r="M37" s="407" t="s">
        <v>238</v>
      </c>
      <c r="O37" s="291"/>
    </row>
    <row r="38" spans="1:19" ht="18.75" x14ac:dyDescent="0.3">
      <c r="A38" s="512" t="str">
        <f>INVOERPAGINA!A46</f>
        <v>Voeraankoop krachtvoer en natte bijproducten/vochtijke krachtvoeders</v>
      </c>
      <c r="B38" s="513"/>
      <c r="C38" s="513"/>
      <c r="D38" s="513"/>
      <c r="E38" s="513"/>
      <c r="F38" s="514"/>
      <c r="G38" s="513"/>
      <c r="H38" s="389"/>
    </row>
    <row r="39" spans="1:19" x14ac:dyDescent="0.2">
      <c r="A39" s="467"/>
      <c r="B39" s="513"/>
      <c r="C39" s="513"/>
      <c r="D39" s="513"/>
      <c r="E39" s="513"/>
      <c r="F39" s="513"/>
      <c r="G39" s="513"/>
      <c r="H39" s="389"/>
      <c r="I39" s="289" t="str">
        <f>INVOERPAGINA!A48</f>
        <v>GEVOERDE HOEVEELHEDEN AANGEKOCHT KRACHTVOER, DROGE BIJPRODUCTEN &amp; MINERALEN</v>
      </c>
    </row>
    <row r="40" spans="1:19" x14ac:dyDescent="0.2">
      <c r="A40" s="463"/>
      <c r="B40" s="513"/>
      <c r="C40" s="513"/>
      <c r="D40" s="513"/>
      <c r="E40" s="513"/>
      <c r="F40" s="513"/>
      <c r="G40" s="513"/>
      <c r="P40" s="395" t="s">
        <v>228</v>
      </c>
    </row>
    <row r="41" spans="1:19" x14ac:dyDescent="0.2">
      <c r="A41" s="524"/>
      <c r="B41" s="513"/>
      <c r="C41" s="513"/>
      <c r="D41" s="513"/>
      <c r="E41" s="513"/>
      <c r="F41" s="513"/>
      <c r="G41" s="525" t="s">
        <v>322</v>
      </c>
      <c r="P41" s="411" t="s">
        <v>188</v>
      </c>
      <c r="S41" s="286" t="s">
        <v>322</v>
      </c>
    </row>
    <row r="42" spans="1:19" x14ac:dyDescent="0.2">
      <c r="A42" s="463"/>
      <c r="B42" s="526" t="str">
        <f>INVOERPAGINA!B49</f>
        <v>Product</v>
      </c>
      <c r="C42" s="525"/>
      <c r="D42" s="525"/>
      <c r="E42" s="525" t="str">
        <f>INVOERPAGINA!E49</f>
        <v>Hoeveelheid</v>
      </c>
      <c r="F42" s="525"/>
      <c r="G42" s="525" t="s">
        <v>323</v>
      </c>
      <c r="J42" s="286" t="s">
        <v>191</v>
      </c>
      <c r="M42" s="286" t="s">
        <v>167</v>
      </c>
      <c r="O42" s="306" t="s">
        <v>150</v>
      </c>
      <c r="P42" s="306" t="s">
        <v>2</v>
      </c>
      <c r="Q42" s="306" t="s">
        <v>3</v>
      </c>
      <c r="R42" s="306" t="s">
        <v>90</v>
      </c>
      <c r="S42" s="412" t="s">
        <v>323</v>
      </c>
    </row>
    <row r="43" spans="1:19" ht="15" x14ac:dyDescent="0.25">
      <c r="A43" s="463"/>
      <c r="B43" s="527" t="str">
        <f>INVOERPAGINA!B50</f>
        <v>A++ brok - Brokkema Veevoeders bv</v>
      </c>
      <c r="C43" s="528"/>
      <c r="D43" s="529"/>
      <c r="E43" s="530">
        <f>INVOERPAGINA!E50</f>
        <v>167000</v>
      </c>
      <c r="F43" s="518" t="str">
        <f>INVOERPAGINA!F50</f>
        <v>kg product</v>
      </c>
      <c r="G43" s="520">
        <f>INVOERPAGINA!K50</f>
        <v>868.4</v>
      </c>
      <c r="H43" s="291"/>
      <c r="J43" s="550" t="s">
        <v>320</v>
      </c>
      <c r="K43" s="614"/>
      <c r="L43" s="615"/>
      <c r="M43" s="334">
        <v>167000</v>
      </c>
      <c r="N43" s="398" t="s">
        <v>149</v>
      </c>
      <c r="O43" s="341">
        <v>900</v>
      </c>
      <c r="P43" s="342">
        <v>985</v>
      </c>
      <c r="Q43" s="343">
        <v>5.2</v>
      </c>
      <c r="R43" s="334">
        <v>177</v>
      </c>
      <c r="S43" s="459">
        <f>ALT_INVOER!T24/1000</f>
        <v>868.4</v>
      </c>
    </row>
    <row r="44" spans="1:19" ht="15" customHeight="1" x14ac:dyDescent="0.25">
      <c r="A44" s="463"/>
      <c r="B44" s="527" t="str">
        <f>INVOERPAGINA!B51</f>
        <v>Raapschroot - Fouragehandel Jansen</v>
      </c>
      <c r="C44" s="528"/>
      <c r="D44" s="529"/>
      <c r="E44" s="530">
        <f>INVOERPAGINA!E51</f>
        <v>36500</v>
      </c>
      <c r="F44" s="518" t="str">
        <f>INVOERPAGINA!F51</f>
        <v>kg product</v>
      </c>
      <c r="G44" s="520">
        <f>INVOERPAGINA!K51</f>
        <v>434.35</v>
      </c>
      <c r="H44" s="291"/>
      <c r="J44" s="550" t="s">
        <v>152</v>
      </c>
      <c r="K44" s="614">
        <v>0</v>
      </c>
      <c r="L44" s="615">
        <v>0</v>
      </c>
      <c r="M44" s="335">
        <v>36500</v>
      </c>
      <c r="N44" s="398" t="s">
        <v>149</v>
      </c>
      <c r="O44" s="341">
        <v>900</v>
      </c>
      <c r="P44" s="342">
        <v>848</v>
      </c>
      <c r="Q44" s="343">
        <v>11.9</v>
      </c>
      <c r="R44" s="334">
        <v>313.125</v>
      </c>
      <c r="S44" s="459">
        <f>ALT_INVOER!T25/1000</f>
        <v>434.35</v>
      </c>
    </row>
    <row r="45" spans="1:19" ht="15" customHeight="1" x14ac:dyDescent="0.25">
      <c r="A45" s="463"/>
      <c r="B45" s="527" t="str">
        <f>INVOERPAGINA!B52</f>
        <v>Soyaschroot - Mengvoeders United</v>
      </c>
      <c r="C45" s="528"/>
      <c r="D45" s="529"/>
      <c r="E45" s="530">
        <f>INVOERPAGINA!E52</f>
        <v>36500</v>
      </c>
      <c r="F45" s="518" t="str">
        <f>INVOERPAGINA!F52</f>
        <v>kg product</v>
      </c>
      <c r="G45" s="520">
        <f>INVOERPAGINA!K52</f>
        <v>237.25</v>
      </c>
      <c r="H45" s="291"/>
      <c r="J45" s="550" t="s">
        <v>153</v>
      </c>
      <c r="K45" s="614">
        <v>0</v>
      </c>
      <c r="L45" s="615">
        <v>0</v>
      </c>
      <c r="M45" s="335">
        <v>36500</v>
      </c>
      <c r="N45" s="398" t="s">
        <v>149</v>
      </c>
      <c r="O45" s="341">
        <v>900</v>
      </c>
      <c r="P45" s="344">
        <v>1014</v>
      </c>
      <c r="Q45" s="343">
        <v>6.5</v>
      </c>
      <c r="R45" s="334">
        <v>464.375</v>
      </c>
      <c r="S45" s="459">
        <f>ALT_INVOER!T26/1000</f>
        <v>237.25</v>
      </c>
    </row>
    <row r="46" spans="1:19" ht="15" x14ac:dyDescent="0.25">
      <c r="A46" s="463"/>
      <c r="B46" s="527" t="str">
        <f>INVOERPAGINA!B53</f>
        <v xml:space="preserve">Bietenpulp </v>
      </c>
      <c r="C46" s="528"/>
      <c r="D46" s="529"/>
      <c r="E46" s="530">
        <f>INVOERPAGINA!E53</f>
        <v>0</v>
      </c>
      <c r="F46" s="518" t="str">
        <f>INVOERPAGINA!F53</f>
        <v>kg product</v>
      </c>
      <c r="G46" s="520">
        <f>INVOERPAGINA!K53</f>
        <v>0</v>
      </c>
      <c r="H46" s="291"/>
      <c r="J46" s="550" t="s">
        <v>84</v>
      </c>
      <c r="K46" s="614"/>
      <c r="L46" s="615"/>
      <c r="M46" s="335">
        <v>0</v>
      </c>
      <c r="N46" s="398" t="s">
        <v>149</v>
      </c>
      <c r="O46" s="341">
        <v>900</v>
      </c>
      <c r="P46" s="344">
        <v>930</v>
      </c>
      <c r="Q46" s="343">
        <v>0.9</v>
      </c>
      <c r="R46" s="334">
        <v>93.125</v>
      </c>
      <c r="S46" s="459">
        <f>ALT_INVOER!T27/1000</f>
        <v>0</v>
      </c>
    </row>
    <row r="47" spans="1:19" ht="15" customHeight="1" x14ac:dyDescent="0.25">
      <c r="A47" s="463"/>
      <c r="B47" s="527">
        <f>INVOERPAGINA!B54</f>
        <v>0</v>
      </c>
      <c r="C47" s="528"/>
      <c r="D47" s="529"/>
      <c r="E47" s="530">
        <f>INVOERPAGINA!E54</f>
        <v>0</v>
      </c>
      <c r="F47" s="518" t="str">
        <f>INVOERPAGINA!F54</f>
        <v>kg product</v>
      </c>
      <c r="G47" s="520">
        <f>INVOERPAGINA!K54</f>
        <v>0</v>
      </c>
      <c r="H47" s="291"/>
      <c r="J47" s="550"/>
      <c r="K47" s="614"/>
      <c r="L47" s="615"/>
      <c r="M47" s="335"/>
      <c r="N47" s="398" t="s">
        <v>149</v>
      </c>
      <c r="O47" s="341"/>
      <c r="P47" s="344"/>
      <c r="Q47" s="343"/>
      <c r="R47" s="334"/>
      <c r="S47" s="459">
        <f>ALT_INVOER!T28/1000</f>
        <v>0</v>
      </c>
    </row>
    <row r="48" spans="1:19" ht="15" customHeight="1" x14ac:dyDescent="0.25">
      <c r="A48" s="463"/>
      <c r="B48" s="527">
        <f>INVOERPAGINA!B55</f>
        <v>0</v>
      </c>
      <c r="C48" s="528"/>
      <c r="D48" s="529"/>
      <c r="E48" s="530">
        <f>INVOERPAGINA!E55</f>
        <v>0</v>
      </c>
      <c r="F48" s="518" t="str">
        <f>INVOERPAGINA!F55</f>
        <v>kg product</v>
      </c>
      <c r="G48" s="520">
        <f>INVOERPAGINA!K55</f>
        <v>0</v>
      </c>
      <c r="H48" s="291"/>
      <c r="J48" s="550"/>
      <c r="K48" s="614"/>
      <c r="L48" s="615"/>
      <c r="M48" s="335"/>
      <c r="N48" s="398" t="s">
        <v>149</v>
      </c>
      <c r="O48" s="341"/>
      <c r="P48" s="344"/>
      <c r="Q48" s="343"/>
      <c r="R48" s="334"/>
      <c r="S48" s="459">
        <f>ALT_INVOER!T29/1000</f>
        <v>0</v>
      </c>
    </row>
    <row r="49" spans="1:19" ht="15" customHeight="1" x14ac:dyDescent="0.25">
      <c r="A49" s="463"/>
      <c r="B49" s="527">
        <f>INVOERPAGINA!B56</f>
        <v>0</v>
      </c>
      <c r="C49" s="528"/>
      <c r="D49" s="529"/>
      <c r="E49" s="530">
        <f>INVOERPAGINA!E56</f>
        <v>0</v>
      </c>
      <c r="F49" s="518" t="str">
        <f>INVOERPAGINA!F56</f>
        <v>kg product</v>
      </c>
      <c r="G49" s="520">
        <f>INVOERPAGINA!K56</f>
        <v>0</v>
      </c>
      <c r="H49" s="291"/>
      <c r="J49" s="550"/>
      <c r="K49" s="614"/>
      <c r="L49" s="615"/>
      <c r="M49" s="335"/>
      <c r="N49" s="398" t="s">
        <v>149</v>
      </c>
      <c r="O49" s="341"/>
      <c r="P49" s="344"/>
      <c r="Q49" s="343"/>
      <c r="R49" s="334"/>
      <c r="S49" s="459">
        <f>ALT_INVOER!T30/1000</f>
        <v>0</v>
      </c>
    </row>
    <row r="50" spans="1:19" ht="15" customHeight="1" x14ac:dyDescent="0.25">
      <c r="A50" s="463"/>
      <c r="B50" s="527" t="str">
        <f>INVOERPAGINA!B57</f>
        <v>Mineralen</v>
      </c>
      <c r="C50" s="528"/>
      <c r="D50" s="529"/>
      <c r="E50" s="530">
        <f>INVOERPAGINA!E57</f>
        <v>3650</v>
      </c>
      <c r="F50" s="518" t="str">
        <f>INVOERPAGINA!F57</f>
        <v>kg product</v>
      </c>
      <c r="G50" s="520">
        <f>INVOERPAGINA!K57</f>
        <v>14.6</v>
      </c>
      <c r="H50" s="291"/>
      <c r="J50" s="550" t="s">
        <v>209</v>
      </c>
      <c r="K50" s="614"/>
      <c r="L50" s="615"/>
      <c r="M50" s="335">
        <v>3650</v>
      </c>
      <c r="N50" s="398" t="s">
        <v>149</v>
      </c>
      <c r="O50" s="341">
        <v>1000</v>
      </c>
      <c r="P50" s="344">
        <v>0</v>
      </c>
      <c r="Q50" s="343">
        <v>4.2</v>
      </c>
      <c r="R50" s="334">
        <v>6.25</v>
      </c>
      <c r="S50" s="459">
        <f>ALT_INVOER!T31/1000</f>
        <v>15.33</v>
      </c>
    </row>
    <row r="51" spans="1:19" ht="15" x14ac:dyDescent="0.25">
      <c r="A51" s="467"/>
      <c r="B51" s="531"/>
      <c r="C51" s="532"/>
      <c r="D51" s="532"/>
      <c r="E51" s="533"/>
      <c r="F51" s="518"/>
      <c r="G51" s="517"/>
      <c r="H51" s="298"/>
      <c r="J51" s="309"/>
      <c r="K51" s="402"/>
      <c r="L51" s="402"/>
      <c r="M51" s="311"/>
      <c r="N51" s="312"/>
      <c r="O51" s="393"/>
      <c r="P51" s="393"/>
      <c r="Q51" s="393"/>
      <c r="R51" s="304"/>
    </row>
    <row r="52" spans="1:19" ht="15" x14ac:dyDescent="0.25">
      <c r="A52" s="467"/>
      <c r="B52" s="531"/>
      <c r="C52" s="532"/>
      <c r="D52" s="532"/>
      <c r="E52" s="533"/>
      <c r="F52" s="518"/>
      <c r="G52" s="517"/>
      <c r="H52" s="289" t="str">
        <f>INVOERPAGINA!A59</f>
        <v>GEVOERDE HOEVEELHEDEN AANGEKOCHTE VOCHTRIJKE KRACHTVOEDERS/NATTE BIJPRODUCTEN</v>
      </c>
      <c r="P52" s="395" t="s">
        <v>228</v>
      </c>
    </row>
    <row r="53" spans="1:19" ht="15" x14ac:dyDescent="0.25">
      <c r="A53" s="463"/>
      <c r="B53" s="531"/>
      <c r="C53" s="532"/>
      <c r="D53" s="532"/>
      <c r="E53" s="533"/>
      <c r="F53" s="518"/>
      <c r="G53" s="517" t="s">
        <v>322</v>
      </c>
      <c r="H53" s="298"/>
      <c r="J53" s="413"/>
      <c r="K53" s="402"/>
      <c r="L53" s="402"/>
      <c r="M53" s="418"/>
      <c r="N53" s="416"/>
      <c r="O53" s="417"/>
      <c r="P53" s="411" t="s">
        <v>187</v>
      </c>
      <c r="Q53" s="417"/>
      <c r="R53" s="418"/>
      <c r="S53" s="286" t="s">
        <v>322</v>
      </c>
    </row>
    <row r="54" spans="1:19" ht="15" x14ac:dyDescent="0.25">
      <c r="A54" s="463"/>
      <c r="B54" s="513" t="str">
        <f>INVOERPAGINA!B61</f>
        <v>Product</v>
      </c>
      <c r="C54" s="532"/>
      <c r="D54" s="532"/>
      <c r="E54" s="525" t="str">
        <f>INVOERPAGINA!E61</f>
        <v>Hoeveelheid</v>
      </c>
      <c r="F54" s="525" t="str">
        <f>INVOERPAGINA!F61</f>
        <v>Eenheid</v>
      </c>
      <c r="G54" s="526" t="s">
        <v>323</v>
      </c>
      <c r="H54" s="298"/>
      <c r="J54" s="286" t="s">
        <v>191</v>
      </c>
      <c r="K54" s="402"/>
      <c r="L54" s="402"/>
      <c r="M54" s="286" t="s">
        <v>167</v>
      </c>
      <c r="N54" s="306" t="s">
        <v>147</v>
      </c>
      <c r="O54" s="306" t="s">
        <v>150</v>
      </c>
      <c r="P54" s="306" t="s">
        <v>2</v>
      </c>
      <c r="Q54" s="306" t="s">
        <v>3</v>
      </c>
      <c r="R54" s="425" t="s">
        <v>90</v>
      </c>
      <c r="S54" s="286" t="s">
        <v>323</v>
      </c>
    </row>
    <row r="55" spans="1:19" ht="15" x14ac:dyDescent="0.25">
      <c r="A55" s="463"/>
      <c r="B55" s="611" t="str">
        <f>INVOERPAGINA!B62</f>
        <v>Persvezels Emsland Stärke</v>
      </c>
      <c r="C55" s="612"/>
      <c r="D55" s="613"/>
      <c r="E55" s="530">
        <f>INVOERPAGINA!E62</f>
        <v>0</v>
      </c>
      <c r="F55" s="518" t="str">
        <f>INVOERPAGINA!F62</f>
        <v>kg product</v>
      </c>
      <c r="G55" s="520">
        <f>INVOERPAGINA!K62</f>
        <v>0</v>
      </c>
      <c r="J55" s="553" t="s">
        <v>195</v>
      </c>
      <c r="K55" s="554"/>
      <c r="L55" s="555"/>
      <c r="M55" s="335">
        <v>0</v>
      </c>
      <c r="N55" s="426" t="s">
        <v>148</v>
      </c>
      <c r="O55" s="344">
        <v>209</v>
      </c>
      <c r="P55" s="344">
        <v>1028</v>
      </c>
      <c r="Q55" s="344">
        <v>0.9</v>
      </c>
      <c r="R55" s="452">
        <v>78.125</v>
      </c>
      <c r="S55" s="459">
        <f>ALT_INVOER!T35/1000</f>
        <v>0</v>
      </c>
    </row>
    <row r="56" spans="1:19" ht="15" x14ac:dyDescent="0.25">
      <c r="A56" s="463"/>
      <c r="B56" s="611">
        <f>INVOERPAGINA!B63</f>
        <v>0</v>
      </c>
      <c r="C56" s="612"/>
      <c r="D56" s="613"/>
      <c r="E56" s="530">
        <f>INVOERPAGINA!E63</f>
        <v>0</v>
      </c>
      <c r="F56" s="518" t="str">
        <f>INVOERPAGINA!F63</f>
        <v>kg product</v>
      </c>
      <c r="G56" s="520">
        <f>INVOERPAGINA!K63</f>
        <v>0</v>
      </c>
      <c r="J56" s="553"/>
      <c r="K56" s="558"/>
      <c r="L56" s="559"/>
      <c r="M56" s="335"/>
      <c r="N56" s="426" t="s">
        <v>148</v>
      </c>
      <c r="O56" s="344"/>
      <c r="P56" s="344"/>
      <c r="Q56" s="344"/>
      <c r="R56" s="452"/>
      <c r="S56" s="459">
        <f>ALT_INVOER!T36/1000</f>
        <v>0</v>
      </c>
    </row>
    <row r="57" spans="1:19" ht="15" x14ac:dyDescent="0.25">
      <c r="A57" s="463"/>
      <c r="B57" s="527">
        <f>INVOERPAGINA!B64</f>
        <v>0</v>
      </c>
      <c r="C57" s="534"/>
      <c r="D57" s="535"/>
      <c r="E57" s="530">
        <f>INVOERPAGINA!E64</f>
        <v>0</v>
      </c>
      <c r="F57" s="518" t="str">
        <f>INVOERPAGINA!F64</f>
        <v>kg product</v>
      </c>
      <c r="G57" s="520">
        <f>INVOERPAGINA!K64</f>
        <v>0</v>
      </c>
      <c r="J57" s="553"/>
      <c r="K57" s="558"/>
      <c r="L57" s="559"/>
      <c r="M57" s="335"/>
      <c r="N57" s="426" t="s">
        <v>148</v>
      </c>
      <c r="O57" s="344"/>
      <c r="P57" s="344"/>
      <c r="Q57" s="344"/>
      <c r="R57" s="452"/>
      <c r="S57" s="459">
        <f>ALT_INVOER!T37/1000</f>
        <v>0</v>
      </c>
    </row>
    <row r="58" spans="1:19" ht="15" x14ac:dyDescent="0.25">
      <c r="A58" s="463"/>
      <c r="B58" s="527">
        <f>INVOERPAGINA!B65</f>
        <v>0</v>
      </c>
      <c r="C58" s="534"/>
      <c r="D58" s="535"/>
      <c r="E58" s="530">
        <f>INVOERPAGINA!E65</f>
        <v>0</v>
      </c>
      <c r="F58" s="518" t="str">
        <f>INVOERPAGINA!F65</f>
        <v>kg DS</v>
      </c>
      <c r="G58" s="520">
        <f>INVOERPAGINA!K65</f>
        <v>0</v>
      </c>
      <c r="J58" s="553"/>
      <c r="K58" s="558"/>
      <c r="L58" s="559"/>
      <c r="M58" s="335"/>
      <c r="N58" s="426" t="s">
        <v>148</v>
      </c>
      <c r="O58" s="344"/>
      <c r="P58" s="344"/>
      <c r="Q58" s="344"/>
      <c r="R58" s="452"/>
      <c r="S58" s="459">
        <f>ALT_INVOER!T38/1000</f>
        <v>0</v>
      </c>
    </row>
    <row r="59" spans="1:19" ht="15" x14ac:dyDescent="0.25">
      <c r="A59" s="463"/>
      <c r="B59" s="527">
        <f>INVOERPAGINA!B66</f>
        <v>0</v>
      </c>
      <c r="C59" s="534"/>
      <c r="D59" s="535"/>
      <c r="E59" s="530">
        <f>INVOERPAGINA!E66</f>
        <v>0</v>
      </c>
      <c r="F59" s="518" t="str">
        <f>INVOERPAGINA!F66</f>
        <v>kg DS</v>
      </c>
      <c r="G59" s="520">
        <f>INVOERPAGINA!K66</f>
        <v>0</v>
      </c>
      <c r="J59" s="553"/>
      <c r="K59" s="558"/>
      <c r="L59" s="559"/>
      <c r="M59" s="335"/>
      <c r="N59" s="426" t="s">
        <v>149</v>
      </c>
      <c r="O59" s="344"/>
      <c r="P59" s="344"/>
      <c r="Q59" s="344"/>
      <c r="R59" s="452"/>
      <c r="S59" s="459">
        <f>ALT_INVOER!T39/1000</f>
        <v>0</v>
      </c>
    </row>
    <row r="60" spans="1:19" ht="15" x14ac:dyDescent="0.25">
      <c r="A60" s="463"/>
      <c r="B60" s="527">
        <f>INVOERPAGINA!B67</f>
        <v>0</v>
      </c>
      <c r="C60" s="534"/>
      <c r="D60" s="535"/>
      <c r="E60" s="530">
        <f>INVOERPAGINA!E67</f>
        <v>0</v>
      </c>
      <c r="F60" s="518" t="str">
        <f>INVOERPAGINA!F67</f>
        <v>kg DS</v>
      </c>
      <c r="G60" s="520">
        <f>INVOERPAGINA!K67</f>
        <v>0</v>
      </c>
      <c r="J60" s="553"/>
      <c r="K60" s="558"/>
      <c r="L60" s="559"/>
      <c r="M60" s="335"/>
      <c r="N60" s="426" t="s">
        <v>149</v>
      </c>
      <c r="O60" s="344"/>
      <c r="P60" s="344"/>
      <c r="Q60" s="344"/>
      <c r="R60" s="452"/>
      <c r="S60" s="459">
        <f>ALT_INVOER!T40/1000</f>
        <v>0</v>
      </c>
    </row>
    <row r="61" spans="1:19" ht="15" x14ac:dyDescent="0.25">
      <c r="A61" s="463"/>
      <c r="B61" s="527">
        <f>INVOERPAGINA!B68</f>
        <v>0</v>
      </c>
      <c r="C61" s="534"/>
      <c r="D61" s="535"/>
      <c r="E61" s="530">
        <f>INVOERPAGINA!E68</f>
        <v>0</v>
      </c>
      <c r="F61" s="518" t="str">
        <f>INVOERPAGINA!F68</f>
        <v>kg DS</v>
      </c>
      <c r="G61" s="520">
        <f>INVOERPAGINA!K68</f>
        <v>0</v>
      </c>
      <c r="J61" s="553"/>
      <c r="K61" s="558"/>
      <c r="L61" s="559"/>
      <c r="M61" s="335"/>
      <c r="N61" s="426" t="s">
        <v>149</v>
      </c>
      <c r="O61" s="344"/>
      <c r="P61" s="344"/>
      <c r="Q61" s="344"/>
      <c r="R61" s="452"/>
      <c r="S61" s="459">
        <f>ALT_INVOER!T41/1000</f>
        <v>0</v>
      </c>
    </row>
    <row r="62" spans="1:19" ht="15" x14ac:dyDescent="0.25">
      <c r="A62" s="463"/>
      <c r="B62" s="527">
        <f>INVOERPAGINA!B69</f>
        <v>0</v>
      </c>
      <c r="C62" s="534"/>
      <c r="D62" s="535"/>
      <c r="E62" s="530">
        <f>INVOERPAGINA!E69</f>
        <v>0</v>
      </c>
      <c r="F62" s="518" t="str">
        <f>INVOERPAGINA!F69</f>
        <v>kg DS</v>
      </c>
      <c r="G62" s="520">
        <f>INVOERPAGINA!K69</f>
        <v>0</v>
      </c>
      <c r="J62" s="553"/>
      <c r="K62" s="558"/>
      <c r="L62" s="559"/>
      <c r="M62" s="335"/>
      <c r="N62" s="426" t="s">
        <v>149</v>
      </c>
      <c r="O62" s="344"/>
      <c r="P62" s="344"/>
      <c r="Q62" s="344"/>
      <c r="R62" s="452"/>
      <c r="S62" s="459">
        <f>ALT_INVOER!T42/1000</f>
        <v>0</v>
      </c>
    </row>
    <row r="63" spans="1:19" x14ac:dyDescent="0.2">
      <c r="A63" s="463"/>
      <c r="B63" s="527" t="str">
        <f>INVOERPAGINA!B70</f>
        <v>Perspulp</v>
      </c>
      <c r="C63" s="534"/>
      <c r="D63" s="535"/>
      <c r="E63" s="530">
        <f>INVOERPAGINA!E70</f>
        <v>0</v>
      </c>
      <c r="F63" s="518" t="str">
        <f>INVOERPAGINA!F70</f>
        <v>kg product</v>
      </c>
      <c r="G63" s="520">
        <f>INVOERPAGINA!K70</f>
        <v>0</v>
      </c>
      <c r="J63" s="553" t="s">
        <v>161</v>
      </c>
      <c r="K63" s="554"/>
      <c r="L63" s="555"/>
      <c r="M63" s="335">
        <v>0</v>
      </c>
      <c r="N63" s="426" t="s">
        <v>148</v>
      </c>
      <c r="O63" s="344">
        <v>231</v>
      </c>
      <c r="P63" s="344">
        <v>1019</v>
      </c>
      <c r="Q63" s="344">
        <v>0.9</v>
      </c>
      <c r="R63" s="452">
        <v>98.125</v>
      </c>
      <c r="S63" s="459">
        <f>ALT_INVOER!T43/1000</f>
        <v>0</v>
      </c>
    </row>
    <row r="64" spans="1:19" ht="15" customHeight="1" x14ac:dyDescent="0.2">
      <c r="A64" s="463"/>
      <c r="B64" s="527" t="str">
        <f>INVOERPAGINA!B71</f>
        <v>Bierbostel Brouwerij Goudgele Rakker</v>
      </c>
      <c r="C64" s="534"/>
      <c r="D64" s="535"/>
      <c r="E64" s="530">
        <f>INVOERPAGINA!E71</f>
        <v>0</v>
      </c>
      <c r="F64" s="518" t="str">
        <f>INVOERPAGINA!F71</f>
        <v>kg product</v>
      </c>
      <c r="G64" s="520">
        <f>INVOERPAGINA!K71</f>
        <v>0</v>
      </c>
      <c r="J64" s="553" t="s">
        <v>240</v>
      </c>
      <c r="K64" s="554"/>
      <c r="L64" s="555"/>
      <c r="M64" s="335">
        <v>0</v>
      </c>
      <c r="N64" s="426" t="s">
        <v>149</v>
      </c>
      <c r="O64" s="344">
        <v>222</v>
      </c>
      <c r="P64" s="344">
        <v>895</v>
      </c>
      <c r="Q64" s="343">
        <v>4</v>
      </c>
      <c r="R64" s="334">
        <v>180</v>
      </c>
      <c r="S64" s="459">
        <f>ALT_INVOER!T44/1000</f>
        <v>0</v>
      </c>
    </row>
    <row r="65" spans="1:9" x14ac:dyDescent="0.2">
      <c r="A65" s="463"/>
      <c r="B65" s="513"/>
      <c r="C65" s="513"/>
      <c r="D65" s="513"/>
      <c r="E65" s="513"/>
      <c r="F65" s="513"/>
      <c r="G65" s="513"/>
    </row>
    <row r="66" spans="1:9" x14ac:dyDescent="0.2">
      <c r="A66" s="467"/>
      <c r="B66" s="467"/>
      <c r="C66" s="467"/>
      <c r="D66" s="467"/>
      <c r="E66" s="467"/>
      <c r="F66" s="467"/>
      <c r="G66" s="467"/>
      <c r="H66" s="298"/>
      <c r="I66" s="298"/>
    </row>
    <row r="67" spans="1:9" x14ac:dyDescent="0.2">
      <c r="A67" s="467"/>
      <c r="B67" s="467"/>
      <c r="C67" s="467"/>
      <c r="D67" s="467"/>
      <c r="E67" s="467"/>
      <c r="F67" s="467"/>
      <c r="G67" s="467"/>
      <c r="H67" s="298"/>
      <c r="I67" s="298"/>
    </row>
    <row r="68" spans="1:9" x14ac:dyDescent="0.2">
      <c r="A68" s="298"/>
      <c r="B68" s="298"/>
      <c r="C68" s="298"/>
      <c r="D68" s="298"/>
      <c r="E68" s="298"/>
      <c r="F68" s="298"/>
      <c r="G68" s="298"/>
      <c r="H68" s="298"/>
      <c r="I68" s="298"/>
    </row>
    <row r="69" spans="1:9" x14ac:dyDescent="0.2">
      <c r="A69" s="298"/>
      <c r="B69" s="298"/>
      <c r="C69" s="298"/>
      <c r="D69" s="298"/>
      <c r="E69" s="298"/>
      <c r="F69" s="298"/>
      <c r="G69" s="298"/>
      <c r="H69" s="298"/>
      <c r="I69" s="298"/>
    </row>
    <row r="70" spans="1:9" x14ac:dyDescent="0.2">
      <c r="A70" s="300"/>
      <c r="B70" s="298"/>
      <c r="C70" s="296"/>
      <c r="D70" s="397"/>
      <c r="E70" s="298"/>
      <c r="F70" s="298"/>
      <c r="G70" s="313"/>
      <c r="H70" s="397"/>
      <c r="I70" s="298"/>
    </row>
    <row r="71" spans="1:9" x14ac:dyDescent="0.2">
      <c r="A71" s="300"/>
      <c r="B71" s="298"/>
      <c r="C71" s="296"/>
      <c r="D71" s="397"/>
      <c r="E71" s="298"/>
      <c r="F71" s="298"/>
      <c r="G71" s="313"/>
      <c r="H71" s="397"/>
      <c r="I71" s="298"/>
    </row>
    <row r="72" spans="1:9" x14ac:dyDescent="0.2">
      <c r="A72" s="298"/>
      <c r="B72" s="607"/>
      <c r="C72" s="608"/>
      <c r="D72" s="608"/>
      <c r="E72" s="311"/>
      <c r="F72" s="307"/>
      <c r="G72" s="392"/>
      <c r="H72" s="298"/>
      <c r="I72" s="298"/>
    </row>
    <row r="73" spans="1:9" x14ac:dyDescent="0.2">
      <c r="A73" s="298"/>
      <c r="B73" s="607"/>
      <c r="C73" s="608"/>
      <c r="D73" s="608"/>
      <c r="E73" s="311"/>
      <c r="F73" s="307"/>
      <c r="G73" s="392"/>
      <c r="H73" s="298"/>
      <c r="I73" s="298"/>
    </row>
    <row r="74" spans="1:9" x14ac:dyDescent="0.2">
      <c r="A74" s="298"/>
      <c r="B74" s="394"/>
      <c r="C74" s="403"/>
      <c r="D74" s="403"/>
      <c r="E74" s="311"/>
      <c r="F74" s="307"/>
      <c r="G74" s="392"/>
      <c r="H74" s="298"/>
      <c r="I74" s="298"/>
    </row>
    <row r="75" spans="1:9" x14ac:dyDescent="0.2">
      <c r="A75" s="298"/>
      <c r="B75" s="394"/>
      <c r="C75" s="403"/>
      <c r="D75" s="403"/>
      <c r="E75" s="311"/>
      <c r="F75" s="307"/>
      <c r="G75" s="392"/>
      <c r="H75" s="298"/>
      <c r="I75" s="298"/>
    </row>
    <row r="76" spans="1:9" x14ac:dyDescent="0.2">
      <c r="A76" s="298"/>
      <c r="B76" s="394"/>
      <c r="C76" s="403"/>
      <c r="D76" s="403"/>
      <c r="E76" s="311"/>
      <c r="F76" s="307"/>
      <c r="G76" s="392"/>
      <c r="H76" s="298"/>
      <c r="I76" s="298"/>
    </row>
    <row r="77" spans="1:9" x14ac:dyDescent="0.2">
      <c r="A77" s="298"/>
      <c r="B77" s="394"/>
      <c r="C77" s="403"/>
      <c r="D77" s="403"/>
      <c r="E77" s="311"/>
      <c r="F77" s="307"/>
      <c r="G77" s="392"/>
      <c r="H77" s="298"/>
      <c r="I77" s="298"/>
    </row>
    <row r="78" spans="1:9" x14ac:dyDescent="0.2">
      <c r="A78" s="298"/>
      <c r="B78" s="398"/>
      <c r="C78" s="398"/>
      <c r="D78" s="398"/>
      <c r="E78" s="398"/>
      <c r="F78" s="307"/>
      <c r="G78" s="392"/>
      <c r="H78" s="298"/>
      <c r="I78" s="298"/>
    </row>
    <row r="79" spans="1:9" x14ac:dyDescent="0.2">
      <c r="A79" s="300"/>
      <c r="B79" s="398"/>
      <c r="C79" s="387"/>
      <c r="D79" s="399"/>
      <c r="E79" s="404"/>
      <c r="F79" s="392"/>
      <c r="G79" s="392"/>
      <c r="H79" s="298"/>
      <c r="I79" s="298"/>
    </row>
    <row r="80" spans="1:9" x14ac:dyDescent="0.2">
      <c r="A80" s="300"/>
      <c r="B80" s="394"/>
      <c r="C80" s="403"/>
      <c r="D80" s="403"/>
      <c r="E80" s="311"/>
      <c r="F80" s="307"/>
      <c r="G80" s="311"/>
      <c r="H80" s="298"/>
      <c r="I80" s="298"/>
    </row>
    <row r="81" spans="1:9" x14ac:dyDescent="0.2">
      <c r="A81" s="300"/>
      <c r="B81" s="394"/>
      <c r="C81" s="403"/>
      <c r="D81" s="403"/>
      <c r="E81" s="311"/>
      <c r="F81" s="307"/>
      <c r="G81" s="392"/>
      <c r="H81" s="298"/>
      <c r="I81" s="298"/>
    </row>
    <row r="82" spans="1:9" x14ac:dyDescent="0.2">
      <c r="A82" s="300"/>
      <c r="B82" s="394"/>
      <c r="C82" s="403"/>
      <c r="D82" s="403"/>
      <c r="E82" s="311"/>
      <c r="F82" s="307"/>
      <c r="G82" s="392"/>
      <c r="H82" s="298"/>
      <c r="I82" s="298"/>
    </row>
    <row r="83" spans="1:9" x14ac:dyDescent="0.2">
      <c r="A83" s="300"/>
      <c r="B83" s="394"/>
      <c r="C83" s="403"/>
      <c r="D83" s="403"/>
      <c r="E83" s="311"/>
      <c r="F83" s="307"/>
      <c r="G83" s="392"/>
      <c r="H83" s="298"/>
      <c r="I83" s="298"/>
    </row>
    <row r="84" spans="1:9" x14ac:dyDescent="0.2">
      <c r="A84" s="300"/>
      <c r="B84" s="394"/>
      <c r="C84" s="403"/>
      <c r="D84" s="403"/>
      <c r="E84" s="311"/>
      <c r="F84" s="307"/>
      <c r="G84" s="392"/>
      <c r="H84" s="298"/>
      <c r="I84" s="298"/>
    </row>
    <row r="85" spans="1:9" x14ac:dyDescent="0.2">
      <c r="A85" s="300"/>
      <c r="B85" s="394"/>
      <c r="C85" s="403"/>
      <c r="D85" s="403"/>
      <c r="E85" s="311"/>
      <c r="F85" s="307"/>
      <c r="G85" s="392"/>
      <c r="H85" s="298"/>
      <c r="I85" s="298"/>
    </row>
    <row r="86" spans="1:9" x14ac:dyDescent="0.2">
      <c r="A86" s="300"/>
      <c r="B86" s="394"/>
      <c r="C86" s="403"/>
      <c r="D86" s="403"/>
      <c r="E86" s="311"/>
      <c r="F86" s="307"/>
      <c r="G86" s="392"/>
      <c r="H86" s="298"/>
      <c r="I86" s="298"/>
    </row>
    <row r="87" spans="1:9" x14ac:dyDescent="0.2">
      <c r="A87" s="298"/>
      <c r="B87" s="398"/>
      <c r="C87" s="398"/>
      <c r="D87" s="398"/>
      <c r="E87" s="398"/>
      <c r="F87" s="398"/>
      <c r="G87" s="392"/>
      <c r="H87" s="298"/>
      <c r="I87" s="298"/>
    </row>
    <row r="88" spans="1:9" x14ac:dyDescent="0.2">
      <c r="A88" s="300"/>
      <c r="B88" s="398"/>
      <c r="C88" s="387"/>
      <c r="D88" s="399"/>
      <c r="E88" s="392"/>
      <c r="F88" s="392"/>
      <c r="G88" s="392"/>
      <c r="H88" s="298"/>
      <c r="I88" s="298"/>
    </row>
    <row r="89" spans="1:9" x14ac:dyDescent="0.2">
      <c r="A89" s="298"/>
      <c r="B89" s="394"/>
      <c r="C89" s="403"/>
      <c r="D89" s="403"/>
      <c r="E89" s="311"/>
      <c r="F89" s="307"/>
      <c r="G89" s="311"/>
      <c r="H89" s="298"/>
      <c r="I89" s="298"/>
    </row>
    <row r="90" spans="1:9" x14ac:dyDescent="0.2">
      <c r="A90" s="298"/>
      <c r="B90" s="394"/>
      <c r="C90" s="403"/>
      <c r="D90" s="403"/>
      <c r="E90" s="311"/>
      <c r="F90" s="307"/>
      <c r="G90" s="392"/>
      <c r="H90" s="298"/>
      <c r="I90" s="298"/>
    </row>
    <row r="91" spans="1:9" x14ac:dyDescent="0.2">
      <c r="A91" s="298"/>
      <c r="B91" s="394"/>
      <c r="C91" s="403"/>
      <c r="D91" s="403"/>
      <c r="E91" s="311"/>
      <c r="F91" s="307"/>
      <c r="G91" s="392"/>
      <c r="H91" s="298"/>
      <c r="I91" s="298"/>
    </row>
    <row r="92" spans="1:9" x14ac:dyDescent="0.2">
      <c r="A92" s="298"/>
      <c r="B92" s="394"/>
      <c r="C92" s="403"/>
      <c r="D92" s="403"/>
      <c r="E92" s="311"/>
      <c r="F92" s="307"/>
      <c r="G92" s="392"/>
      <c r="H92" s="298"/>
      <c r="I92" s="298"/>
    </row>
    <row r="93" spans="1:9" x14ac:dyDescent="0.2">
      <c r="A93" s="298"/>
      <c r="B93" s="394"/>
      <c r="C93" s="403"/>
      <c r="D93" s="403"/>
      <c r="E93" s="311"/>
      <c r="F93" s="307"/>
      <c r="G93" s="392"/>
      <c r="H93" s="298"/>
      <c r="I93" s="298"/>
    </row>
    <row r="94" spans="1:9" x14ac:dyDescent="0.2">
      <c r="A94" s="298"/>
      <c r="B94" s="394"/>
      <c r="C94" s="403"/>
      <c r="D94" s="403"/>
      <c r="E94" s="311"/>
      <c r="F94" s="307"/>
      <c r="G94" s="392"/>
      <c r="H94" s="298"/>
      <c r="I94" s="298"/>
    </row>
    <row r="95" spans="1:9" x14ac:dyDescent="0.2">
      <c r="A95" s="298"/>
      <c r="B95" s="394"/>
      <c r="C95" s="403"/>
      <c r="D95" s="403"/>
      <c r="E95" s="311"/>
      <c r="F95" s="307"/>
      <c r="G95" s="392"/>
      <c r="H95" s="298"/>
      <c r="I95" s="298"/>
    </row>
    <row r="96" spans="1:9" x14ac:dyDescent="0.2">
      <c r="A96" s="300"/>
      <c r="B96" s="298"/>
      <c r="C96" s="296"/>
      <c r="D96" s="397"/>
      <c r="E96" s="298"/>
      <c r="F96" s="298"/>
      <c r="G96" s="313"/>
      <c r="H96" s="298"/>
      <c r="I96" s="298"/>
    </row>
    <row r="97" spans="1:10" x14ac:dyDescent="0.2">
      <c r="A97" s="300"/>
      <c r="B97" s="298"/>
      <c r="C97" s="296"/>
      <c r="D97" s="397"/>
      <c r="E97" s="298"/>
      <c r="F97" s="298"/>
      <c r="G97" s="313"/>
      <c r="H97" s="298"/>
      <c r="I97" s="298"/>
    </row>
    <row r="98" spans="1:10" x14ac:dyDescent="0.2">
      <c r="A98" s="298"/>
      <c r="B98" s="298"/>
      <c r="C98" s="298"/>
      <c r="D98" s="298"/>
      <c r="E98" s="298"/>
      <c r="F98" s="298"/>
      <c r="G98" s="298"/>
      <c r="H98" s="298"/>
      <c r="I98" s="298"/>
    </row>
    <row r="99" spans="1:10" x14ac:dyDescent="0.2">
      <c r="A99" s="298"/>
      <c r="B99" s="298"/>
      <c r="C99" s="298"/>
      <c r="D99" s="298"/>
      <c r="E99" s="298"/>
      <c r="F99" s="298"/>
      <c r="G99" s="298"/>
      <c r="H99" s="298"/>
      <c r="I99" s="298"/>
    </row>
    <row r="100" spans="1:10" x14ac:dyDescent="0.2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</row>
    <row r="101" spans="1:10" x14ac:dyDescent="0.2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</row>
    <row r="102" spans="1:10" x14ac:dyDescent="0.2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</row>
    <row r="103" spans="1:10" x14ac:dyDescent="0.2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</row>
    <row r="104" spans="1:10" x14ac:dyDescent="0.2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</row>
    <row r="105" spans="1:10" x14ac:dyDescent="0.2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</row>
    <row r="106" spans="1:10" x14ac:dyDescent="0.2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</row>
    <row r="107" spans="1:10" x14ac:dyDescent="0.2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</row>
    <row r="108" spans="1:10" x14ac:dyDescent="0.2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</row>
    <row r="109" spans="1:10" x14ac:dyDescent="0.2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</row>
    <row r="110" spans="1:10" x14ac:dyDescent="0.2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</row>
    <row r="111" spans="1:10" x14ac:dyDescent="0.2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</row>
    <row r="112" spans="1:10" x14ac:dyDescent="0.2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</row>
    <row r="113" spans="1:10" x14ac:dyDescent="0.2">
      <c r="A113" s="298"/>
      <c r="B113" s="298"/>
      <c r="C113" s="298"/>
      <c r="D113" s="298"/>
      <c r="E113" s="298"/>
      <c r="F113" s="298"/>
      <c r="G113" s="298"/>
      <c r="H113" s="298"/>
      <c r="I113" s="298"/>
      <c r="J113" s="298"/>
    </row>
    <row r="114" spans="1:10" x14ac:dyDescent="0.2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</row>
    <row r="115" spans="1:10" x14ac:dyDescent="0.2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</row>
    <row r="116" spans="1:10" x14ac:dyDescent="0.2">
      <c r="A116" s="298"/>
      <c r="B116" s="298"/>
      <c r="C116" s="298"/>
      <c r="D116" s="298"/>
      <c r="E116" s="298"/>
      <c r="F116" s="298"/>
      <c r="G116" s="298"/>
      <c r="H116" s="298"/>
      <c r="I116" s="298"/>
      <c r="J116" s="298"/>
    </row>
    <row r="117" spans="1:10" x14ac:dyDescent="0.2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</row>
    <row r="118" spans="1:10" x14ac:dyDescent="0.2">
      <c r="A118" s="298"/>
      <c r="B118" s="298"/>
      <c r="C118" s="298"/>
      <c r="D118" s="298"/>
      <c r="E118" s="298"/>
      <c r="F118" s="298"/>
      <c r="G118" s="298"/>
      <c r="H118" s="298"/>
      <c r="I118" s="298"/>
      <c r="J118" s="298"/>
    </row>
    <row r="119" spans="1:10" x14ac:dyDescent="0.2">
      <c r="A119" s="298"/>
      <c r="B119" s="298"/>
      <c r="C119" s="298"/>
      <c r="D119" s="298"/>
      <c r="E119" s="298"/>
      <c r="F119" s="298"/>
      <c r="G119" s="298"/>
      <c r="H119" s="298"/>
      <c r="I119" s="298"/>
      <c r="J119" s="298"/>
    </row>
    <row r="120" spans="1:10" x14ac:dyDescent="0.2">
      <c r="A120" s="298"/>
      <c r="B120" s="298"/>
      <c r="C120" s="298"/>
      <c r="D120" s="298"/>
      <c r="E120" s="298"/>
      <c r="F120" s="298"/>
      <c r="G120" s="298"/>
      <c r="H120" s="298"/>
      <c r="I120" s="298"/>
      <c r="J120" s="298"/>
    </row>
    <row r="121" spans="1:10" x14ac:dyDescent="0.2">
      <c r="A121" s="298"/>
      <c r="B121" s="298"/>
      <c r="C121" s="298"/>
      <c r="D121" s="298"/>
      <c r="E121" s="298"/>
      <c r="F121" s="298"/>
      <c r="G121" s="298"/>
      <c r="H121" s="298"/>
      <c r="I121" s="298"/>
      <c r="J121" s="298"/>
    </row>
    <row r="122" spans="1:10" x14ac:dyDescent="0.2">
      <c r="A122" s="298"/>
      <c r="B122" s="298"/>
      <c r="C122" s="298"/>
      <c r="D122" s="298"/>
      <c r="E122" s="298"/>
      <c r="F122" s="298"/>
      <c r="G122" s="298"/>
      <c r="H122" s="298"/>
      <c r="I122" s="298"/>
      <c r="J122" s="298"/>
    </row>
    <row r="123" spans="1:10" x14ac:dyDescent="0.2">
      <c r="A123" s="300"/>
      <c r="B123" s="298"/>
      <c r="C123" s="296"/>
      <c r="D123" s="397"/>
      <c r="E123" s="298"/>
      <c r="F123" s="298"/>
      <c r="G123" s="298"/>
      <c r="H123" s="298"/>
      <c r="I123" s="298"/>
      <c r="J123" s="298"/>
    </row>
    <row r="124" spans="1:10" x14ac:dyDescent="0.2">
      <c r="A124" s="300"/>
      <c r="B124" s="298"/>
      <c r="C124" s="296"/>
      <c r="D124" s="397"/>
      <c r="E124" s="298"/>
      <c r="F124" s="298"/>
      <c r="G124" s="298"/>
      <c r="H124" s="298"/>
      <c r="I124" s="298"/>
      <c r="J124" s="298"/>
    </row>
    <row r="125" spans="1:10" x14ac:dyDescent="0.2">
      <c r="A125" s="298"/>
      <c r="B125" s="298"/>
      <c r="C125" s="298"/>
      <c r="D125" s="298"/>
      <c r="E125" s="298"/>
      <c r="F125" s="298"/>
      <c r="G125" s="298"/>
      <c r="H125" s="298"/>
      <c r="I125" s="298"/>
      <c r="J125" s="298"/>
    </row>
    <row r="126" spans="1:10" x14ac:dyDescent="0.2">
      <c r="A126" s="400"/>
      <c r="B126" s="298"/>
      <c r="C126" s="298"/>
      <c r="D126" s="298"/>
      <c r="E126" s="298"/>
      <c r="F126" s="298"/>
      <c r="G126" s="298"/>
      <c r="H126" s="298"/>
      <c r="I126" s="298"/>
      <c r="J126" s="298"/>
    </row>
    <row r="127" spans="1:10" x14ac:dyDescent="0.2">
      <c r="A127" s="298"/>
      <c r="B127" s="298"/>
      <c r="C127" s="298"/>
      <c r="D127" s="298"/>
      <c r="E127" s="298"/>
      <c r="F127" s="298"/>
      <c r="G127" s="298"/>
      <c r="H127" s="298"/>
      <c r="I127" s="298"/>
      <c r="J127" s="298"/>
    </row>
    <row r="128" spans="1:10" x14ac:dyDescent="0.2">
      <c r="A128" s="296"/>
      <c r="B128" s="396"/>
      <c r="C128" s="298"/>
      <c r="D128" s="396"/>
      <c r="E128" s="298"/>
      <c r="F128" s="298"/>
      <c r="G128" s="298"/>
      <c r="H128" s="298"/>
      <c r="I128" s="298"/>
      <c r="J128" s="298"/>
    </row>
    <row r="129" spans="1:11" x14ac:dyDescent="0.2">
      <c r="A129" s="296"/>
      <c r="B129" s="305"/>
      <c r="C129" s="289"/>
      <c r="D129" s="393"/>
      <c r="E129" s="298"/>
      <c r="F129" s="298"/>
      <c r="G129" s="298"/>
      <c r="H129" s="298"/>
      <c r="I129" s="298"/>
      <c r="J129" s="298"/>
    </row>
    <row r="130" spans="1:11" x14ac:dyDescent="0.2">
      <c r="A130" s="296"/>
      <c r="B130" s="305"/>
      <c r="C130" s="289"/>
      <c r="D130" s="393"/>
      <c r="E130" s="298"/>
      <c r="F130" s="298"/>
      <c r="G130" s="298"/>
      <c r="H130" s="298"/>
      <c r="I130" s="298"/>
      <c r="J130" s="298"/>
    </row>
    <row r="131" spans="1:11" x14ac:dyDescent="0.2">
      <c r="A131" s="296"/>
      <c r="B131" s="305"/>
      <c r="C131" s="289"/>
      <c r="D131" s="393"/>
      <c r="E131" s="298"/>
      <c r="F131" s="298"/>
      <c r="G131" s="298"/>
      <c r="H131" s="298"/>
      <c r="I131" s="298"/>
      <c r="J131" s="298"/>
    </row>
    <row r="132" spans="1:11" x14ac:dyDescent="0.2">
      <c r="A132" s="298"/>
      <c r="B132" s="305"/>
      <c r="C132" s="289"/>
      <c r="D132" s="393"/>
      <c r="E132" s="298"/>
      <c r="F132" s="298"/>
      <c r="G132" s="298"/>
      <c r="H132" s="298"/>
      <c r="I132" s="298"/>
      <c r="J132" s="298"/>
    </row>
    <row r="133" spans="1:11" x14ac:dyDescent="0.2">
      <c r="A133" s="298"/>
      <c r="B133" s="305"/>
      <c r="C133" s="289"/>
      <c r="D133" s="393"/>
      <c r="E133" s="298"/>
      <c r="F133" s="298"/>
      <c r="G133" s="298"/>
      <c r="H133" s="298"/>
      <c r="I133" s="298"/>
      <c r="J133" s="298"/>
    </row>
    <row r="134" spans="1:11" x14ac:dyDescent="0.2">
      <c r="A134" s="298"/>
      <c r="B134" s="305"/>
      <c r="C134" s="289"/>
      <c r="D134" s="393"/>
      <c r="E134" s="298"/>
      <c r="F134" s="298"/>
      <c r="G134" s="298"/>
      <c r="H134" s="298"/>
      <c r="I134" s="298"/>
      <c r="J134" s="298"/>
    </row>
    <row r="135" spans="1:11" x14ac:dyDescent="0.2">
      <c r="A135" s="400"/>
      <c r="B135" s="289"/>
      <c r="C135" s="289"/>
      <c r="D135" s="289"/>
      <c r="E135" s="298"/>
      <c r="F135" s="298"/>
      <c r="G135" s="298"/>
      <c r="H135" s="298"/>
      <c r="I135" s="298"/>
      <c r="J135" s="298"/>
    </row>
    <row r="136" spans="1:11" x14ac:dyDescent="0.2">
      <c r="A136" s="298"/>
      <c r="B136" s="289"/>
      <c r="C136" s="289"/>
      <c r="D136" s="289"/>
      <c r="E136" s="298"/>
      <c r="F136" s="298"/>
      <c r="G136" s="298"/>
      <c r="H136" s="298"/>
      <c r="I136" s="298"/>
      <c r="J136" s="298"/>
    </row>
    <row r="137" spans="1:11" x14ac:dyDescent="0.2">
      <c r="A137" s="296"/>
      <c r="B137" s="396"/>
      <c r="C137" s="289"/>
      <c r="D137" s="396"/>
      <c r="E137" s="298"/>
      <c r="F137" s="298"/>
      <c r="G137" s="298"/>
      <c r="H137" s="298"/>
      <c r="I137" s="298"/>
      <c r="J137" s="298"/>
    </row>
    <row r="138" spans="1:11" x14ac:dyDescent="0.2">
      <c r="A138" s="296"/>
      <c r="B138" s="305"/>
      <c r="C138" s="289"/>
      <c r="D138" s="393"/>
      <c r="E138" s="298"/>
      <c r="F138" s="298"/>
      <c r="G138" s="298"/>
      <c r="H138" s="298"/>
      <c r="I138" s="298"/>
      <c r="J138" s="298"/>
    </row>
    <row r="139" spans="1:11" x14ac:dyDescent="0.2">
      <c r="A139" s="296"/>
      <c r="B139" s="305"/>
      <c r="C139" s="405"/>
      <c r="D139" s="393"/>
      <c r="E139" s="298"/>
      <c r="F139" s="298"/>
      <c r="G139" s="298"/>
      <c r="H139" s="298"/>
      <c r="I139" s="298"/>
      <c r="J139" s="298"/>
      <c r="K139" s="298"/>
    </row>
    <row r="140" spans="1:11" x14ac:dyDescent="0.2">
      <c r="A140" s="296"/>
      <c r="B140" s="305"/>
      <c r="C140" s="289"/>
      <c r="D140" s="393"/>
      <c r="E140" s="298"/>
      <c r="F140" s="298"/>
      <c r="G140" s="298"/>
      <c r="H140" s="298"/>
      <c r="I140" s="298"/>
      <c r="J140" s="298"/>
      <c r="K140" s="298"/>
    </row>
    <row r="141" spans="1:11" x14ac:dyDescent="0.2">
      <c r="A141" s="296"/>
      <c r="B141" s="305"/>
      <c r="C141" s="289"/>
      <c r="D141" s="393"/>
      <c r="E141" s="298"/>
      <c r="F141" s="298"/>
      <c r="G141" s="298"/>
      <c r="H141" s="298"/>
      <c r="I141" s="298"/>
      <c r="J141" s="298"/>
      <c r="K141" s="298"/>
    </row>
    <row r="142" spans="1:11" x14ac:dyDescent="0.2">
      <c r="A142" s="296"/>
      <c r="B142" s="305"/>
      <c r="C142" s="289"/>
      <c r="D142" s="393"/>
      <c r="E142" s="298"/>
      <c r="F142" s="298"/>
      <c r="G142" s="298"/>
      <c r="H142" s="298"/>
      <c r="I142" s="298"/>
      <c r="J142" s="298"/>
      <c r="K142" s="298"/>
    </row>
    <row r="143" spans="1:11" x14ac:dyDescent="0.2">
      <c r="A143" s="296"/>
      <c r="B143" s="305"/>
      <c r="C143" s="289"/>
      <c r="D143" s="393"/>
      <c r="E143" s="298"/>
      <c r="F143" s="298"/>
      <c r="G143" s="298"/>
      <c r="H143" s="298"/>
      <c r="I143" s="298"/>
      <c r="J143" s="298"/>
      <c r="K143" s="298"/>
    </row>
    <row r="144" spans="1:11" x14ac:dyDescent="0.2">
      <c r="A144" s="296"/>
      <c r="B144" s="305"/>
      <c r="C144" s="289"/>
      <c r="D144" s="393"/>
      <c r="E144" s="298"/>
      <c r="F144" s="298"/>
      <c r="G144" s="298"/>
      <c r="H144" s="298"/>
      <c r="I144" s="298"/>
      <c r="J144" s="298"/>
      <c r="K144" s="298"/>
    </row>
    <row r="145" spans="1:12" x14ac:dyDescent="0.2">
      <c r="A145" s="298"/>
      <c r="B145" s="305"/>
      <c r="C145" s="289"/>
      <c r="D145" s="393"/>
      <c r="E145" s="298"/>
      <c r="F145" s="298"/>
      <c r="G145" s="298"/>
      <c r="H145" s="298"/>
      <c r="I145" s="298"/>
      <c r="J145" s="298"/>
      <c r="K145" s="298"/>
    </row>
    <row r="146" spans="1:12" x14ac:dyDescent="0.2">
      <c r="A146" s="298"/>
      <c r="B146" s="305"/>
      <c r="C146" s="289"/>
      <c r="D146" s="393"/>
      <c r="E146" s="298"/>
      <c r="F146" s="298"/>
      <c r="G146" s="298"/>
      <c r="H146" s="298"/>
      <c r="I146" s="298"/>
      <c r="J146" s="298"/>
      <c r="K146" s="298"/>
    </row>
    <row r="147" spans="1:12" x14ac:dyDescent="0.2">
      <c r="A147" s="298"/>
      <c r="B147" s="298"/>
      <c r="C147" s="313"/>
      <c r="D147" s="397"/>
      <c r="E147" s="298"/>
      <c r="F147" s="298"/>
      <c r="G147" s="298"/>
      <c r="H147" s="298"/>
      <c r="I147" s="298"/>
      <c r="J147" s="298"/>
      <c r="K147" s="298"/>
    </row>
    <row r="148" spans="1:12" x14ac:dyDescent="0.2">
      <c r="A148" s="400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</row>
    <row r="149" spans="1:12" x14ac:dyDescent="0.2">
      <c r="A149" s="298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</row>
    <row r="150" spans="1:12" x14ac:dyDescent="0.2">
      <c r="A150" s="296"/>
      <c r="B150" s="300"/>
      <c r="C150" s="298"/>
      <c r="D150" s="396"/>
      <c r="E150" s="298"/>
      <c r="F150" s="298"/>
      <c r="G150" s="298"/>
      <c r="H150" s="298"/>
      <c r="I150" s="298"/>
      <c r="J150" s="298"/>
      <c r="K150" s="298"/>
      <c r="L150" s="298"/>
    </row>
    <row r="151" spans="1:12" x14ac:dyDescent="0.2">
      <c r="A151" s="296"/>
      <c r="B151" s="305"/>
      <c r="C151" s="297"/>
      <c r="D151" s="393"/>
      <c r="E151" s="298"/>
      <c r="F151" s="298"/>
      <c r="G151" s="298"/>
      <c r="H151" s="298"/>
      <c r="I151" s="298"/>
      <c r="J151" s="298"/>
      <c r="K151" s="298"/>
      <c r="L151" s="298"/>
    </row>
    <row r="152" spans="1:12" x14ac:dyDescent="0.2">
      <c r="A152" s="296"/>
      <c r="B152" s="305"/>
      <c r="C152" s="297"/>
      <c r="D152" s="393"/>
      <c r="E152" s="298"/>
      <c r="F152" s="298"/>
      <c r="G152" s="298"/>
      <c r="H152" s="298"/>
      <c r="I152" s="298"/>
      <c r="J152" s="298"/>
      <c r="K152" s="298"/>
      <c r="L152" s="298"/>
    </row>
    <row r="153" spans="1:12" x14ac:dyDescent="0.2">
      <c r="A153" s="296"/>
      <c r="B153" s="305"/>
      <c r="C153" s="297"/>
      <c r="D153" s="393"/>
      <c r="E153" s="298"/>
      <c r="F153" s="298"/>
      <c r="G153" s="298"/>
      <c r="H153" s="298"/>
      <c r="I153" s="298"/>
      <c r="J153" s="298"/>
      <c r="K153" s="298"/>
      <c r="L153" s="298"/>
    </row>
    <row r="154" spans="1:12" x14ac:dyDescent="0.2">
      <c r="A154" s="298"/>
      <c r="B154" s="305"/>
      <c r="C154" s="297"/>
      <c r="D154" s="393"/>
      <c r="E154" s="298"/>
      <c r="F154" s="298"/>
      <c r="G154" s="298"/>
      <c r="H154" s="298"/>
      <c r="I154" s="298"/>
      <c r="J154" s="298"/>
      <c r="K154" s="298"/>
      <c r="L154" s="298"/>
    </row>
    <row r="155" spans="1:12" x14ac:dyDescent="0.2">
      <c r="A155" s="298"/>
      <c r="B155" s="305"/>
      <c r="C155" s="297"/>
      <c r="D155" s="393"/>
      <c r="E155" s="298"/>
      <c r="F155" s="298"/>
      <c r="G155" s="298"/>
      <c r="H155" s="298"/>
      <c r="I155" s="298"/>
      <c r="J155" s="298"/>
      <c r="K155" s="298"/>
      <c r="L155" s="298"/>
    </row>
    <row r="156" spans="1:12" x14ac:dyDescent="0.2">
      <c r="A156" s="298"/>
      <c r="B156" s="305"/>
      <c r="C156" s="297"/>
      <c r="D156" s="393"/>
      <c r="E156" s="298"/>
      <c r="F156" s="298"/>
      <c r="G156" s="298"/>
      <c r="H156" s="298"/>
      <c r="I156" s="298"/>
      <c r="J156" s="298"/>
      <c r="K156" s="298"/>
      <c r="L156" s="298"/>
    </row>
    <row r="157" spans="1:12" x14ac:dyDescent="0.2">
      <c r="A157" s="400"/>
      <c r="B157" s="289"/>
      <c r="C157" s="289"/>
      <c r="D157" s="289"/>
      <c r="E157" s="298"/>
      <c r="F157" s="298"/>
      <c r="G157" s="298"/>
      <c r="H157" s="298"/>
      <c r="I157" s="298"/>
      <c r="J157" s="298"/>
      <c r="K157" s="298"/>
      <c r="L157" s="298"/>
    </row>
    <row r="158" spans="1:12" x14ac:dyDescent="0.2">
      <c r="A158" s="298"/>
      <c r="B158" s="289"/>
      <c r="C158" s="289"/>
      <c r="D158" s="289"/>
      <c r="E158" s="298"/>
      <c r="F158" s="298"/>
      <c r="G158" s="298"/>
      <c r="H158" s="298"/>
      <c r="I158" s="298"/>
      <c r="J158" s="298"/>
      <c r="K158" s="298"/>
      <c r="L158" s="298"/>
    </row>
    <row r="159" spans="1:12" x14ac:dyDescent="0.2">
      <c r="A159" s="296"/>
      <c r="B159" s="300"/>
      <c r="C159" s="289"/>
      <c r="D159" s="396"/>
      <c r="E159" s="298"/>
      <c r="F159" s="298"/>
      <c r="G159" s="298"/>
      <c r="H159" s="298"/>
      <c r="I159" s="298"/>
      <c r="J159" s="298"/>
      <c r="K159" s="298"/>
      <c r="L159" s="298"/>
    </row>
    <row r="160" spans="1:12" x14ac:dyDescent="0.2">
      <c r="A160" s="296"/>
      <c r="B160" s="305"/>
      <c r="C160" s="289"/>
      <c r="D160" s="393"/>
      <c r="E160" s="298"/>
      <c r="F160" s="298"/>
      <c r="G160" s="298"/>
      <c r="H160" s="298"/>
      <c r="I160" s="298"/>
      <c r="J160" s="298"/>
      <c r="K160" s="298"/>
      <c r="L160" s="298"/>
    </row>
    <row r="161" spans="1:12" x14ac:dyDescent="0.2">
      <c r="A161" s="296"/>
      <c r="B161" s="305"/>
      <c r="C161" s="405"/>
      <c r="D161" s="393"/>
      <c r="E161" s="298"/>
      <c r="F161" s="298"/>
      <c r="G161" s="298"/>
      <c r="H161" s="298"/>
      <c r="I161" s="298"/>
      <c r="J161" s="298"/>
      <c r="K161" s="298"/>
      <c r="L161" s="298"/>
    </row>
    <row r="162" spans="1:12" x14ac:dyDescent="0.2">
      <c r="A162" s="296"/>
      <c r="B162" s="305"/>
      <c r="C162" s="289"/>
      <c r="D162" s="393"/>
      <c r="E162" s="298"/>
      <c r="F162" s="298"/>
      <c r="G162" s="298"/>
      <c r="H162" s="298"/>
      <c r="I162" s="298"/>
      <c r="J162" s="298"/>
      <c r="K162" s="298"/>
      <c r="L162" s="298"/>
    </row>
    <row r="163" spans="1:12" x14ac:dyDescent="0.2">
      <c r="A163" s="296"/>
      <c r="B163" s="305"/>
      <c r="C163" s="289"/>
      <c r="D163" s="393"/>
      <c r="E163" s="298"/>
      <c r="F163" s="298"/>
      <c r="G163" s="298"/>
      <c r="H163" s="298"/>
      <c r="I163" s="298"/>
      <c r="J163" s="298"/>
      <c r="K163" s="298"/>
      <c r="L163" s="298"/>
    </row>
    <row r="164" spans="1:12" x14ac:dyDescent="0.2">
      <c r="A164" s="296"/>
      <c r="B164" s="305"/>
      <c r="C164" s="289"/>
      <c r="D164" s="393"/>
      <c r="E164" s="298"/>
      <c r="F164" s="298"/>
      <c r="G164" s="298"/>
      <c r="H164" s="298"/>
      <c r="I164" s="298"/>
      <c r="J164" s="298"/>
      <c r="K164" s="298"/>
      <c r="L164" s="298"/>
    </row>
    <row r="165" spans="1:12" x14ac:dyDescent="0.2">
      <c r="A165" s="296"/>
      <c r="B165" s="305"/>
      <c r="C165" s="289"/>
      <c r="D165" s="393"/>
      <c r="E165" s="298"/>
      <c r="F165" s="298"/>
      <c r="G165" s="298"/>
      <c r="H165" s="298"/>
      <c r="I165" s="298"/>
      <c r="J165" s="298"/>
      <c r="K165" s="298"/>
      <c r="L165" s="298"/>
    </row>
    <row r="166" spans="1:12" x14ac:dyDescent="0.2">
      <c r="A166" s="296"/>
      <c r="B166" s="305"/>
      <c r="C166" s="289"/>
      <c r="D166" s="393"/>
      <c r="E166" s="298"/>
      <c r="F166" s="298"/>
      <c r="G166" s="298"/>
      <c r="H166" s="298"/>
      <c r="I166" s="298"/>
      <c r="J166" s="298"/>
      <c r="K166" s="298"/>
      <c r="L166" s="298"/>
    </row>
    <row r="167" spans="1:12" x14ac:dyDescent="0.2">
      <c r="A167" s="298"/>
      <c r="B167" s="305"/>
      <c r="C167" s="289"/>
      <c r="D167" s="393"/>
      <c r="E167" s="298"/>
      <c r="F167" s="298"/>
      <c r="G167" s="298"/>
      <c r="H167" s="298"/>
      <c r="I167" s="298"/>
      <c r="J167" s="298"/>
      <c r="K167" s="298"/>
      <c r="L167" s="298"/>
    </row>
    <row r="168" spans="1:12" x14ac:dyDescent="0.2">
      <c r="A168" s="298"/>
      <c r="B168" s="305"/>
      <c r="C168" s="289"/>
      <c r="D168" s="393"/>
      <c r="E168" s="298"/>
      <c r="F168" s="298"/>
      <c r="G168" s="298"/>
      <c r="H168" s="298"/>
      <c r="I168" s="298"/>
      <c r="J168" s="298"/>
      <c r="K168" s="298"/>
      <c r="L168" s="298"/>
    </row>
    <row r="169" spans="1:12" x14ac:dyDescent="0.2">
      <c r="A169" s="298"/>
      <c r="B169" s="298"/>
      <c r="C169" s="313"/>
      <c r="D169" s="397"/>
      <c r="E169" s="298"/>
      <c r="F169" s="298"/>
      <c r="G169" s="298"/>
      <c r="H169" s="298"/>
      <c r="I169" s="298"/>
      <c r="J169" s="298"/>
      <c r="K169" s="298"/>
      <c r="L169" s="298"/>
    </row>
    <row r="170" spans="1:12" x14ac:dyDescent="0.2">
      <c r="A170" s="298"/>
      <c r="B170" s="298"/>
      <c r="C170" s="313"/>
      <c r="D170" s="397"/>
      <c r="E170" s="298"/>
      <c r="F170" s="298"/>
      <c r="G170" s="298"/>
      <c r="H170" s="298"/>
      <c r="I170" s="298"/>
      <c r="J170" s="298"/>
      <c r="K170" s="298"/>
      <c r="L170" s="298"/>
    </row>
    <row r="171" spans="1:12" x14ac:dyDescent="0.2">
      <c r="A171" s="298"/>
      <c r="B171" s="298"/>
      <c r="C171" s="313"/>
      <c r="D171" s="406"/>
      <c r="E171" s="298"/>
      <c r="F171" s="298"/>
      <c r="G171" s="298"/>
      <c r="H171" s="298"/>
      <c r="I171" s="298"/>
      <c r="J171" s="298"/>
      <c r="K171" s="298"/>
      <c r="L171" s="298"/>
    </row>
    <row r="172" spans="1:12" x14ac:dyDescent="0.2">
      <c r="A172" s="298"/>
      <c r="B172" s="296"/>
      <c r="C172" s="313"/>
      <c r="D172" s="313"/>
      <c r="E172" s="298"/>
      <c r="F172" s="298"/>
      <c r="G172" s="298"/>
      <c r="H172" s="298"/>
      <c r="I172" s="298"/>
      <c r="J172" s="298"/>
      <c r="K172" s="298"/>
      <c r="L172" s="298"/>
    </row>
    <row r="173" spans="1:12" x14ac:dyDescent="0.2">
      <c r="A173" s="298"/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</row>
    <row r="174" spans="1:12" x14ac:dyDescent="0.2">
      <c r="A174" s="298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</row>
    <row r="175" spans="1:12" x14ac:dyDescent="0.2">
      <c r="A175" s="298"/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</row>
    <row r="176" spans="1:12" x14ac:dyDescent="0.2">
      <c r="A176" s="298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</row>
    <row r="177" spans="1:12" x14ac:dyDescent="0.2">
      <c r="A177" s="298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</row>
    <row r="178" spans="1:12" x14ac:dyDescent="0.2">
      <c r="A178" s="298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</row>
    <row r="179" spans="1:12" x14ac:dyDescent="0.2">
      <c r="A179" s="298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</row>
    <row r="180" spans="1:12" x14ac:dyDescent="0.2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</row>
    <row r="181" spans="1:12" x14ac:dyDescent="0.2">
      <c r="A181" s="298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</row>
    <row r="182" spans="1:12" x14ac:dyDescent="0.2">
      <c r="A182" s="298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1:12" x14ac:dyDescent="0.2">
      <c r="A183" s="298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</row>
    <row r="184" spans="1:12" x14ac:dyDescent="0.2">
      <c r="A184" s="298"/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</row>
    <row r="185" spans="1:12" x14ac:dyDescent="0.2">
      <c r="A185" s="298"/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</row>
    <row r="186" spans="1:12" x14ac:dyDescent="0.2">
      <c r="A186" s="298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</row>
    <row r="187" spans="1:12" x14ac:dyDescent="0.2">
      <c r="A187" s="298"/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</row>
    <row r="188" spans="1:12" x14ac:dyDescent="0.2">
      <c r="A188" s="298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</row>
    <row r="189" spans="1:12" x14ac:dyDescent="0.2">
      <c r="A189" s="298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</row>
    <row r="190" spans="1:12" x14ac:dyDescent="0.2">
      <c r="A190" s="298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</row>
    <row r="191" spans="1:12" x14ac:dyDescent="0.2">
      <c r="A191" s="298"/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</row>
    <row r="192" spans="1:12" x14ac:dyDescent="0.2">
      <c r="A192" s="298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</row>
    <row r="193" spans="1:12" x14ac:dyDescent="0.2">
      <c r="A193" s="298"/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</row>
    <row r="194" spans="1:12" x14ac:dyDescent="0.2">
      <c r="A194" s="298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</row>
    <row r="195" spans="1:12" x14ac:dyDescent="0.2">
      <c r="A195" s="298"/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</row>
    <row r="196" spans="1:12" x14ac:dyDescent="0.2">
      <c r="A196" s="298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</row>
    <row r="197" spans="1:12" x14ac:dyDescent="0.2">
      <c r="A197" s="298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</row>
    <row r="198" spans="1:12" x14ac:dyDescent="0.2">
      <c r="A198" s="298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</row>
    <row r="199" spans="1:12" x14ac:dyDescent="0.2">
      <c r="A199" s="298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</row>
    <row r="200" spans="1:12" x14ac:dyDescent="0.2">
      <c r="A200" s="298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</row>
    <row r="201" spans="1:12" x14ac:dyDescent="0.2">
      <c r="A201" s="298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</row>
    <row r="202" spans="1:12" x14ac:dyDescent="0.2">
      <c r="A202" s="298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</row>
    <row r="203" spans="1:12" x14ac:dyDescent="0.2">
      <c r="A203" s="298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</row>
    <row r="204" spans="1:12" x14ac:dyDescent="0.2">
      <c r="A204" s="298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</row>
    <row r="205" spans="1:12" x14ac:dyDescent="0.2">
      <c r="A205" s="298"/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</row>
    <row r="206" spans="1:12" x14ac:dyDescent="0.2">
      <c r="A206" s="298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</row>
    <row r="207" spans="1:12" x14ac:dyDescent="0.2">
      <c r="A207" s="298"/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</row>
    <row r="208" spans="1:12" x14ac:dyDescent="0.2">
      <c r="A208" s="298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</row>
    <row r="209" spans="1:12" x14ac:dyDescent="0.2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</row>
    <row r="210" spans="1:12" x14ac:dyDescent="0.2">
      <c r="A210" s="298"/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</row>
    <row r="211" spans="1:12" x14ac:dyDescent="0.2">
      <c r="A211" s="298"/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</row>
    <row r="212" spans="1:12" x14ac:dyDescent="0.2">
      <c r="A212" s="298"/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</row>
    <row r="213" spans="1:12" x14ac:dyDescent="0.2">
      <c r="A213" s="298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</row>
    <row r="214" spans="1:12" x14ac:dyDescent="0.2">
      <c r="A214" s="298"/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</row>
    <row r="215" spans="1:12" x14ac:dyDescent="0.2">
      <c r="A215" s="298"/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</row>
    <row r="216" spans="1:12" x14ac:dyDescent="0.2">
      <c r="A216" s="298"/>
      <c r="B216" s="298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</row>
    <row r="217" spans="1:12" x14ac:dyDescent="0.2">
      <c r="A217" s="298"/>
      <c r="B217" s="298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</row>
    <row r="218" spans="1:12" x14ac:dyDescent="0.2">
      <c r="A218" s="298"/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</row>
    <row r="219" spans="1:12" x14ac:dyDescent="0.2">
      <c r="A219" s="298"/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</row>
    <row r="220" spans="1:12" x14ac:dyDescent="0.2">
      <c r="A220" s="298"/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</row>
    <row r="221" spans="1:12" x14ac:dyDescent="0.2">
      <c r="A221" s="298"/>
      <c r="B221" s="298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</row>
    <row r="222" spans="1:12" x14ac:dyDescent="0.2">
      <c r="A222" s="298"/>
      <c r="B222" s="298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</row>
    <row r="223" spans="1:12" x14ac:dyDescent="0.2">
      <c r="A223" s="298"/>
      <c r="B223" s="298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</row>
    <row r="224" spans="1:12" x14ac:dyDescent="0.2">
      <c r="A224" s="298"/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</row>
    <row r="225" spans="1:12" x14ac:dyDescent="0.2">
      <c r="A225" s="298"/>
      <c r="B225" s="298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</row>
    <row r="226" spans="1:12" x14ac:dyDescent="0.2">
      <c r="A226" s="298"/>
      <c r="B226" s="298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</row>
    <row r="227" spans="1:12" x14ac:dyDescent="0.2">
      <c r="A227" s="298"/>
      <c r="B227" s="298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</row>
    <row r="228" spans="1:12" x14ac:dyDescent="0.2">
      <c r="A228" s="298"/>
      <c r="B228" s="298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</row>
    <row r="229" spans="1:12" x14ac:dyDescent="0.2">
      <c r="A229" s="298"/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</row>
    <row r="230" spans="1:12" x14ac:dyDescent="0.2">
      <c r="A230" s="298"/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</row>
    <row r="231" spans="1:12" x14ac:dyDescent="0.2">
      <c r="A231" s="298"/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</row>
    <row r="232" spans="1:12" x14ac:dyDescent="0.2">
      <c r="A232" s="298"/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</row>
    <row r="233" spans="1:12" x14ac:dyDescent="0.2">
      <c r="A233" s="298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</row>
    <row r="234" spans="1:12" x14ac:dyDescent="0.2">
      <c r="A234" s="298"/>
      <c r="B234" s="298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</row>
    <row r="235" spans="1:12" x14ac:dyDescent="0.2">
      <c r="A235" s="298"/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</row>
    <row r="236" spans="1:12" x14ac:dyDescent="0.2">
      <c r="A236" s="298"/>
      <c r="B236" s="298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</row>
    <row r="237" spans="1:12" x14ac:dyDescent="0.2">
      <c r="A237" s="298"/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</row>
    <row r="238" spans="1:12" x14ac:dyDescent="0.2">
      <c r="A238" s="298"/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</row>
    <row r="239" spans="1:12" x14ac:dyDescent="0.2">
      <c r="A239" s="298"/>
      <c r="B239" s="298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</row>
    <row r="240" spans="1:12" x14ac:dyDescent="0.2">
      <c r="A240" s="298"/>
      <c r="B240" s="298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</row>
    <row r="241" spans="1:12" x14ac:dyDescent="0.2">
      <c r="A241" s="298"/>
      <c r="B241" s="298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</row>
    <row r="242" spans="1:12" x14ac:dyDescent="0.2">
      <c r="A242" s="298"/>
      <c r="B242" s="298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</row>
    <row r="243" spans="1:12" x14ac:dyDescent="0.2">
      <c r="A243" s="298"/>
      <c r="B243" s="298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</row>
    <row r="244" spans="1:12" x14ac:dyDescent="0.2">
      <c r="A244" s="298"/>
      <c r="B244" s="298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</row>
    <row r="245" spans="1:12" x14ac:dyDescent="0.2">
      <c r="A245" s="298"/>
      <c r="B245" s="298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</row>
    <row r="246" spans="1:12" x14ac:dyDescent="0.2">
      <c r="A246" s="298"/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</row>
    <row r="247" spans="1:12" x14ac:dyDescent="0.2">
      <c r="A247" s="298"/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</row>
    <row r="248" spans="1:12" x14ac:dyDescent="0.2">
      <c r="A248" s="298"/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</row>
    <row r="249" spans="1:12" x14ac:dyDescent="0.2">
      <c r="A249" s="298"/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</row>
    <row r="250" spans="1:12" x14ac:dyDescent="0.2">
      <c r="A250" s="298"/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</row>
    <row r="251" spans="1:12" x14ac:dyDescent="0.2">
      <c r="A251" s="298"/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</row>
    <row r="252" spans="1:12" x14ac:dyDescent="0.2">
      <c r="A252" s="298"/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</row>
    <row r="253" spans="1:12" x14ac:dyDescent="0.2">
      <c r="A253" s="298"/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</row>
    <row r="254" spans="1:12" x14ac:dyDescent="0.2">
      <c r="A254" s="298"/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</row>
    <row r="255" spans="1:12" x14ac:dyDescent="0.2">
      <c r="A255" s="298"/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</row>
  </sheetData>
  <sheetProtection password="9B85" sheet="1" objects="1" scenarios="1"/>
  <mergeCells count="36">
    <mergeCell ref="J62:L62"/>
    <mergeCell ref="J64:L64"/>
    <mergeCell ref="J23:L23"/>
    <mergeCell ref="J24:L24"/>
    <mergeCell ref="J63:L63"/>
    <mergeCell ref="J46:L46"/>
    <mergeCell ref="J55:L55"/>
    <mergeCell ref="J45:L45"/>
    <mergeCell ref="J49:L49"/>
    <mergeCell ref="J50:L50"/>
    <mergeCell ref="J44:L44"/>
    <mergeCell ref="J43:L43"/>
    <mergeCell ref="J47:L47"/>
    <mergeCell ref="J48:L48"/>
    <mergeCell ref="J56:L56"/>
    <mergeCell ref="B55:D55"/>
    <mergeCell ref="J57:L57"/>
    <mergeCell ref="J58:L58"/>
    <mergeCell ref="J59:L59"/>
    <mergeCell ref="J61:L61"/>
    <mergeCell ref="J20:L20"/>
    <mergeCell ref="B23:D23"/>
    <mergeCell ref="B20:D20"/>
    <mergeCell ref="J25:L25"/>
    <mergeCell ref="B73:D73"/>
    <mergeCell ref="B72:D72"/>
    <mergeCell ref="B24:D24"/>
    <mergeCell ref="B25:D25"/>
    <mergeCell ref="B33:D33"/>
    <mergeCell ref="B34:D34"/>
    <mergeCell ref="B35:D35"/>
    <mergeCell ref="J33:L33"/>
    <mergeCell ref="J34:L34"/>
    <mergeCell ref="J35:L35"/>
    <mergeCell ref="B56:D56"/>
    <mergeCell ref="J60:L60"/>
  </mergeCells>
  <conditionalFormatting sqref="F20">
    <cfRule type="expression" dxfId="32" priority="64">
      <formula>"$B$16=Blad3!$B$4"</formula>
    </cfRule>
  </conditionalFormatting>
  <conditionalFormatting sqref="E43:E50 B43:B50 G43:G50">
    <cfRule type="expression" dxfId="31" priority="57">
      <formula>$E43=0</formula>
    </cfRule>
  </conditionalFormatting>
  <conditionalFormatting sqref="B63:E63 G63">
    <cfRule type="expression" dxfId="30" priority="53">
      <formula>$E63=0</formula>
    </cfRule>
  </conditionalFormatting>
  <conditionalFormatting sqref="S55">
    <cfRule type="expression" dxfId="29" priority="50">
      <formula>M55=0</formula>
    </cfRule>
  </conditionalFormatting>
  <conditionalFormatting sqref="M36">
    <cfRule type="expression" dxfId="28" priority="38">
      <formula>$M$36&lt;100</formula>
    </cfRule>
    <cfRule type="expression" dxfId="27" priority="39">
      <formula>$M$36&gt;100</formula>
    </cfRule>
  </conditionalFormatting>
  <conditionalFormatting sqref="K37:O37">
    <cfRule type="expression" dxfId="26" priority="34">
      <formula>$M$36&gt;100</formula>
    </cfRule>
    <cfRule type="expression" dxfId="25" priority="35">
      <formula>$M$36&lt;100</formula>
    </cfRule>
  </conditionalFormatting>
  <conditionalFormatting sqref="M37">
    <cfRule type="expression" dxfId="24" priority="36">
      <formula>$M$36=100</formula>
    </cfRule>
  </conditionalFormatting>
  <conditionalFormatting sqref="S64">
    <cfRule type="expression" dxfId="23" priority="24">
      <formula>M64=0</formula>
    </cfRule>
  </conditionalFormatting>
  <conditionalFormatting sqref="S63">
    <cfRule type="expression" dxfId="22" priority="23">
      <formula>M63=0</formula>
    </cfRule>
  </conditionalFormatting>
  <conditionalFormatting sqref="S62">
    <cfRule type="expression" dxfId="21" priority="22">
      <formula>M62=0</formula>
    </cfRule>
  </conditionalFormatting>
  <conditionalFormatting sqref="S61">
    <cfRule type="expression" dxfId="20" priority="21">
      <formula>M61=0</formula>
    </cfRule>
  </conditionalFormatting>
  <conditionalFormatting sqref="S50">
    <cfRule type="expression" dxfId="19" priority="7">
      <formula>M50=0</formula>
    </cfRule>
  </conditionalFormatting>
  <conditionalFormatting sqref="S60">
    <cfRule type="expression" dxfId="18" priority="20">
      <formula>M60=0</formula>
    </cfRule>
  </conditionalFormatting>
  <conditionalFormatting sqref="S59">
    <cfRule type="expression" dxfId="17" priority="19">
      <formula>M59=0</formula>
    </cfRule>
  </conditionalFormatting>
  <conditionalFormatting sqref="S58">
    <cfRule type="expression" dxfId="16" priority="18">
      <formula>M58=0</formula>
    </cfRule>
  </conditionalFormatting>
  <conditionalFormatting sqref="S57">
    <cfRule type="expression" dxfId="15" priority="17">
      <formula>M57=0</formula>
    </cfRule>
  </conditionalFormatting>
  <conditionalFormatting sqref="S56">
    <cfRule type="expression" dxfId="14" priority="15">
      <formula>M56=0</formula>
    </cfRule>
  </conditionalFormatting>
  <conditionalFormatting sqref="S43">
    <cfRule type="expression" dxfId="13" priority="14">
      <formula>M43=0</formula>
    </cfRule>
  </conditionalFormatting>
  <conditionalFormatting sqref="S44">
    <cfRule type="expression" dxfId="12" priority="13">
      <formula>M44=0</formula>
    </cfRule>
  </conditionalFormatting>
  <conditionalFormatting sqref="S45">
    <cfRule type="expression" dxfId="11" priority="12">
      <formula>M45=0</formula>
    </cfRule>
  </conditionalFormatting>
  <conditionalFormatting sqref="S46">
    <cfRule type="expression" dxfId="10" priority="11">
      <formula>M46=0</formula>
    </cfRule>
  </conditionalFormatting>
  <conditionalFormatting sqref="S47">
    <cfRule type="expression" dxfId="9" priority="10">
      <formula>M47=0</formula>
    </cfRule>
  </conditionalFormatting>
  <conditionalFormatting sqref="S48">
    <cfRule type="expression" dxfId="8" priority="9">
      <formula>M48=0</formula>
    </cfRule>
  </conditionalFormatting>
  <conditionalFormatting sqref="S49">
    <cfRule type="expression" dxfId="7" priority="8">
      <formula>M49=0</formula>
    </cfRule>
  </conditionalFormatting>
  <conditionalFormatting sqref="E44:E50 B44:B50 G44:G50">
    <cfRule type="expression" dxfId="6" priority="5">
      <formula>$E44=0</formula>
    </cfRule>
  </conditionalFormatting>
  <conditionalFormatting sqref="E55:E64 B55:B64 G55:G64">
    <cfRule type="expression" dxfId="5" priority="3">
      <formula>$E55=0</formula>
    </cfRule>
  </conditionalFormatting>
  <dataValidations xWindow="848" yWindow="638" count="6">
    <dataValidation allowBlank="1" showInputMessage="1" showErrorMessage="1" prompt="Bijvoeding naast beweiding met graskuil en hooi in kg drogestof per koe per dag_x000a_" sqref="M23"/>
    <dataValidation allowBlank="1" showInputMessage="1" showErrorMessage="1" prompt="Bijvoeding naast beweiding met snijmais en graan-GPS in kg drogestof per koe per dag" sqref="M24"/>
    <dataValidation allowBlank="1" showInputMessage="1" showErrorMessage="1" prompt="Bijvoeding naast beweiding met overige ruwvoeders in kg drogestof per koe per dag" sqref="M25"/>
    <dataValidation allowBlank="1" showInputMessage="1" showErrorMessage="1" prompt="Vul hier het aandeel graskuil en hooi in als percentage % van de drogestof opname uit ruwvoer exclusief natte bijproducten_x000a_" sqref="M33"/>
    <dataValidation allowBlank="1" showInputMessage="1" showErrorMessage="1" prompt="Vul hier het aandeel snijmais en graan-GPS in als percentage % van de drogestof opname uit ruwvoer exclusief natte bijproducten_x000a_" sqref="M34"/>
    <dataValidation allowBlank="1" showInputMessage="1" showErrorMessage="1" prompt="Vul hier het aandeel overige ruwvoeders in als percentage % van de drogestof opname uit ruwvoer exclusief natte bijproducten_x000a_" sqref="M35"/>
  </dataValidations>
  <pageMargins left="0.7" right="0.7" top="0.75" bottom="0.75" header="0.3" footer="0.3"/>
  <pageSetup paperSize="9" orientation="portrait" r:id="rId1"/>
  <ignoredErrors>
    <ignoredError sqref="E43:E50 B43:D43 G43:G50 B50 B44 B45 B46 B47 B48 B49 F6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" id="{A640916D-9C74-4FED-826C-8009E54F5400}">
            <xm:f>$J$20=LIJSTJES!$B$5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M20:O20</xm:sqref>
        </x14:conditionalFormatting>
        <x14:conditionalFormatting xmlns:xm="http://schemas.microsoft.com/office/excel/2006/main">
          <x14:cfRule type="expression" priority="66" id="{4E95BCDF-CA78-4B12-8D45-212F42FCBFFC}">
            <xm:f>$B$20=LIJSTJES!$B$5</xm:f>
            <x14:dxf>
              <font>
                <color theme="0"/>
              </font>
            </x14:dxf>
          </x14:cfRule>
          <xm:sqref>E20</xm:sqref>
        </x14:conditionalFormatting>
        <x14:conditionalFormatting xmlns:xm="http://schemas.microsoft.com/office/excel/2006/main">
          <x14:cfRule type="expression" priority="65" id="{F37F9D11-A62F-4700-A1FA-CD1B82449409}">
            <xm:f>$B$20=LIJSTJES!$B$5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F20:G20</xm:sqref>
        </x14:conditionalFormatting>
        <x14:conditionalFormatting xmlns:xm="http://schemas.microsoft.com/office/excel/2006/main">
          <x14:cfRule type="expression" priority="2" id="{5EA3BAC6-C1B7-42A9-A3C2-ED42EC126526}">
            <xm:f>$J$20=LIJSTJES!$B$5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J23:N25</xm:sqref>
        </x14:conditionalFormatting>
        <x14:conditionalFormatting xmlns:xm="http://schemas.microsoft.com/office/excel/2006/main">
          <x14:cfRule type="expression" priority="1" id="{D25603A8-C069-4BDF-9C65-60B646A0E1B9}">
            <xm:f>INVOERPAGINA!$B$29=LIJSTJES!$B$5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A23:F25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48" yWindow="638" count="3">
        <x14:dataValidation type="list" allowBlank="1" showInputMessage="1" showErrorMessage="1" prompt="Klik op het pijltje cel voor keuzelijst">
          <x14:formula1>
            <xm:f>LIJSTJES!$B$2:$B$7</xm:f>
          </x14:formula1>
          <xm:sqref>J20</xm:sqref>
        </x14:dataValidation>
        <x14:dataValidation type="list" allowBlank="1" showInputMessage="1" showErrorMessage="1" prompt="Klik op het pijltje voor een keuzelijst">
          <x14:formula1>
            <xm:f>LIJSTJES!$G$2:$G$3</xm:f>
          </x14:formula1>
          <xm:sqref>N55:N64</xm:sqref>
        </x14:dataValidation>
        <x14:dataValidation type="list" allowBlank="1" showInputMessage="1" showErrorMessage="1">
          <x14:formula1>
            <xm:f>LIJSTJES!$G$2:$G$3</xm:f>
          </x14:formula1>
          <xm:sqref>N51 N53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INVOERPAGINA</vt:lpstr>
      <vt:lpstr>ACHTER_INVOER</vt:lpstr>
      <vt:lpstr>BEREKENING</vt:lpstr>
      <vt:lpstr>LIJSTJES</vt:lpstr>
      <vt:lpstr>Voeranalyses</vt:lpstr>
      <vt:lpstr>UITVOER</vt:lpstr>
      <vt:lpstr>ALT_INVOER</vt:lpstr>
      <vt:lpstr>ALT_BEREKENING</vt:lpstr>
      <vt:lpstr>RESULTAAT &amp; SIMULATIE</vt:lpstr>
      <vt:lpstr>AFDRUKBLAD</vt:lpstr>
      <vt:lpstr>CBS</vt:lpstr>
      <vt:lpstr>Blad1</vt:lpstr>
      <vt:lpstr>CBS2008NW</vt:lpstr>
      <vt:lpstr>CBS2008ZO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Zom, Ronald</dc:creator>
  <cp:lastModifiedBy>Zom, Ronald</cp:lastModifiedBy>
  <cp:lastPrinted>2011-10-25T20:36:27Z</cp:lastPrinted>
  <dcterms:created xsi:type="dcterms:W3CDTF">2011-06-01T08:35:42Z</dcterms:created>
  <dcterms:modified xsi:type="dcterms:W3CDTF">2011-11-14T16:12:49Z</dcterms:modified>
</cp:coreProperties>
</file>