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WFSR\BU1\Team_11\Projects\Mestprojecten\NVWA meststoffen_1207131101\Rekentool co materialen\"/>
    </mc:Choice>
  </mc:AlternateContent>
  <xr:revisionPtr revIDLastSave="0" documentId="13_ncr:1_{1B4C28FE-5ECC-4C82-970C-517AA4FABBCC}" xr6:coauthVersionLast="47" xr6:coauthVersionMax="47" xr10:uidLastSave="{00000000-0000-0000-0000-000000000000}"/>
  <bookViews>
    <workbookView xWindow="54600" yWindow="0" windowWidth="25800" windowHeight="21000" xr2:uid="{00000000-000D-0000-FFFF-FFFF00000000}"/>
  </bookViews>
  <sheets>
    <sheet name="rekentool" sheetId="1" r:id="rId1"/>
    <sheet name="omrekenen" sheetId="3" r:id="rId2"/>
  </sheets>
  <definedNames>
    <definedName name="_xlnm.Print_Area" localSheetId="0">rekentool!$A$2:$K$103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" l="1"/>
  <c r="D10" i="3"/>
  <c r="J10" i="3" l="1"/>
  <c r="J6" i="3"/>
  <c r="K10" i="3" s="1"/>
  <c r="J22" i="3" l="1"/>
  <c r="D22" i="3" s="1"/>
  <c r="N18" i="3"/>
  <c r="H18" i="3" s="1"/>
  <c r="J28" i="3"/>
  <c r="G20" i="1" l="1"/>
  <c r="G14" i="1"/>
  <c r="G25" i="1"/>
  <c r="H25" i="1"/>
  <c r="H26" i="1" l="1"/>
  <c r="H28" i="1" s="1"/>
  <c r="I26" i="1"/>
  <c r="I28" i="1" s="1"/>
  <c r="J26" i="1"/>
  <c r="K26" i="1"/>
  <c r="G26" i="1"/>
  <c r="I25" i="1"/>
  <c r="J25" i="1"/>
  <c r="K25" i="1"/>
  <c r="J28" i="1" l="1"/>
  <c r="H10" i="1"/>
  <c r="G28" i="1"/>
  <c r="G91" i="1" s="1"/>
  <c r="K28" i="1"/>
  <c r="L23" i="1"/>
  <c r="L26" i="1" s="1"/>
  <c r="L17" i="1"/>
  <c r="J44" i="1" l="1"/>
  <c r="I91" i="1"/>
  <c r="H91" i="1"/>
  <c r="J84" i="1"/>
  <c r="G44" i="1"/>
  <c r="J37" i="1"/>
  <c r="I37" i="1"/>
  <c r="J97" i="1"/>
  <c r="K80" i="1"/>
  <c r="J63" i="1"/>
  <c r="J83" i="1"/>
  <c r="G90" i="1"/>
  <c r="K87" i="1"/>
  <c r="I39" i="1"/>
  <c r="K67" i="1"/>
  <c r="K92" i="1"/>
  <c r="H63" i="1"/>
  <c r="I42" i="1"/>
  <c r="K97" i="1"/>
  <c r="K81" i="1"/>
  <c r="K71" i="1"/>
  <c r="H89" i="1"/>
  <c r="I92" i="1"/>
  <c r="H93" i="1"/>
  <c r="K82" i="1"/>
  <c r="K66" i="1"/>
  <c r="K37" i="1"/>
  <c r="K90" i="1"/>
  <c r="H66" i="1"/>
  <c r="K43" i="1"/>
  <c r="G82" i="1"/>
  <c r="H37" i="1"/>
  <c r="K83" i="1"/>
  <c r="G92" i="1"/>
  <c r="H67" i="1"/>
  <c r="G97" i="1"/>
  <c r="G96" i="1"/>
  <c r="H43" i="1"/>
  <c r="G39" i="1"/>
  <c r="I41" i="1"/>
  <c r="H44" i="1"/>
  <c r="H92" i="1"/>
  <c r="G37" i="1"/>
  <c r="H97" i="1"/>
  <c r="K63" i="1"/>
  <c r="G81" i="1"/>
  <c r="H84" i="1"/>
  <c r="K94" i="1"/>
  <c r="G71" i="1"/>
  <c r="G83" i="1"/>
  <c r="H94" i="1"/>
  <c r="J82" i="1"/>
  <c r="K91" i="1"/>
  <c r="I97" i="1"/>
  <c r="K64" i="1"/>
  <c r="K89" i="1"/>
  <c r="G87" i="1"/>
  <c r="G88" i="1"/>
  <c r="G93" i="1"/>
  <c r="H68" i="1"/>
  <c r="H38" i="1"/>
  <c r="I63" i="1"/>
  <c r="I86" i="1"/>
  <c r="J41" i="1"/>
  <c r="K84" i="1"/>
  <c r="H39" i="1"/>
  <c r="I83" i="1"/>
  <c r="I94" i="1"/>
  <c r="K44" i="1"/>
  <c r="J91" i="1"/>
  <c r="K70" i="1"/>
  <c r="K41" i="1"/>
  <c r="G42" i="1"/>
  <c r="G84" i="1"/>
  <c r="G38" i="1"/>
  <c r="H95" i="1"/>
  <c r="H86" i="1"/>
  <c r="I95" i="1"/>
  <c r="I96" i="1"/>
  <c r="J39" i="1"/>
  <c r="K95" i="1"/>
  <c r="G40" i="1"/>
  <c r="H65" i="1"/>
  <c r="I65" i="1"/>
  <c r="J42" i="1"/>
  <c r="J67" i="1"/>
  <c r="K86" i="1"/>
  <c r="G63" i="1"/>
  <c r="G41" i="1"/>
  <c r="H96" i="1"/>
  <c r="G43" i="1"/>
  <c r="I43" i="1"/>
  <c r="K96" i="1"/>
  <c r="K65" i="1"/>
  <c r="G85" i="1"/>
  <c r="G64" i="1"/>
  <c r="H87" i="1"/>
  <c r="H82" i="1"/>
  <c r="H83" i="1"/>
  <c r="I82" i="1"/>
  <c r="J66" i="1"/>
  <c r="J94" i="1"/>
  <c r="I67" i="1"/>
  <c r="J95" i="1"/>
  <c r="K40" i="1"/>
  <c r="K38" i="1"/>
  <c r="K68" i="1"/>
  <c r="K88" i="1"/>
  <c r="G95" i="1"/>
  <c r="G99" i="1"/>
  <c r="G70" i="1"/>
  <c r="G80" i="1"/>
  <c r="H80" i="1"/>
  <c r="H40" i="1"/>
  <c r="H64" i="1"/>
  <c r="I87" i="1"/>
  <c r="I80" i="1"/>
  <c r="I71" i="1"/>
  <c r="I40" i="1"/>
  <c r="J70" i="1"/>
  <c r="J80" i="1"/>
  <c r="J65" i="1"/>
  <c r="J38" i="1"/>
  <c r="K85" i="1"/>
  <c r="K99" i="1"/>
  <c r="G68" i="1"/>
  <c r="G67" i="1"/>
  <c r="G86" i="1"/>
  <c r="G89" i="1"/>
  <c r="H42" i="1"/>
  <c r="H71" i="1"/>
  <c r="H81" i="1"/>
  <c r="I66" i="1"/>
  <c r="I89" i="1"/>
  <c r="I88" i="1"/>
  <c r="I81" i="1"/>
  <c r="J96" i="1"/>
  <c r="J89" i="1"/>
  <c r="J71" i="1"/>
  <c r="J64" i="1"/>
  <c r="H88" i="1"/>
  <c r="H90" i="1"/>
  <c r="I93" i="1"/>
  <c r="I68" i="1"/>
  <c r="I99" i="1"/>
  <c r="I90" i="1"/>
  <c r="J86" i="1"/>
  <c r="J68" i="1"/>
  <c r="J88" i="1"/>
  <c r="J81" i="1"/>
  <c r="J43" i="1"/>
  <c r="I44" i="1"/>
  <c r="K42" i="1"/>
  <c r="K93" i="1"/>
  <c r="K39" i="1"/>
  <c r="G65" i="1"/>
  <c r="G94" i="1"/>
  <c r="G66" i="1"/>
  <c r="H41" i="1"/>
  <c r="H85" i="1"/>
  <c r="H99" i="1"/>
  <c r="H70" i="1"/>
  <c r="I64" i="1"/>
  <c r="I85" i="1"/>
  <c r="I38" i="1"/>
  <c r="I70" i="1"/>
  <c r="J40" i="1"/>
  <c r="J85" i="1"/>
  <c r="J99" i="1"/>
  <c r="J90" i="1"/>
  <c r="I84" i="1"/>
  <c r="J87" i="1"/>
  <c r="J93" i="1"/>
  <c r="J92" i="1"/>
  <c r="J72" i="1" l="1"/>
  <c r="I72" i="1"/>
  <c r="H72" i="1"/>
  <c r="G72" i="1"/>
  <c r="K72" i="1"/>
  <c r="I69" i="1"/>
  <c r="H69" i="1"/>
  <c r="K69" i="1"/>
  <c r="J69" i="1"/>
  <c r="G69" i="1"/>
  <c r="K98" i="1"/>
  <c r="I98" i="1"/>
  <c r="H98" i="1"/>
  <c r="G98" i="1"/>
  <c r="J98" i="1"/>
  <c r="K79" i="1" l="1"/>
  <c r="J79" i="1"/>
  <c r="I79" i="1"/>
  <c r="H79" i="1"/>
  <c r="G79" i="1"/>
  <c r="K62" i="1"/>
  <c r="J62" i="1"/>
  <c r="I62" i="1"/>
  <c r="H62" i="1"/>
  <c r="G62" i="1"/>
  <c r="L25" i="1"/>
  <c r="N28" i="3" l="1"/>
  <c r="H28" i="3" s="1"/>
  <c r="M28" i="3"/>
  <c r="G28" i="3" s="1"/>
  <c r="L28" i="3"/>
  <c r="F28" i="3" s="1"/>
  <c r="K28" i="3"/>
  <c r="E28" i="3" s="1"/>
  <c r="N26" i="3"/>
  <c r="H26" i="3" s="1"/>
  <c r="M26" i="3"/>
  <c r="G26" i="3" s="1"/>
  <c r="L26" i="3"/>
  <c r="F26" i="3" s="1"/>
  <c r="K26" i="3"/>
  <c r="E26" i="3" s="1"/>
  <c r="N24" i="3"/>
  <c r="H24" i="3" s="1"/>
  <c r="M24" i="3"/>
  <c r="G24" i="3" s="1"/>
  <c r="L24" i="3"/>
  <c r="F24" i="3" s="1"/>
  <c r="K24" i="3"/>
  <c r="E24" i="3" s="1"/>
  <c r="N22" i="3"/>
  <c r="H22" i="3" s="1"/>
  <c r="M22" i="3"/>
  <c r="G22" i="3" s="1"/>
  <c r="L22" i="3"/>
  <c r="F22" i="3" s="1"/>
  <c r="K22" i="3"/>
  <c r="E22" i="3" s="1"/>
  <c r="N20" i="3"/>
  <c r="H20" i="3" s="1"/>
  <c r="M20" i="3"/>
  <c r="G20" i="3" s="1"/>
  <c r="L20" i="3"/>
  <c r="F20" i="3" s="1"/>
  <c r="K20" i="3"/>
  <c r="E20" i="3" s="1"/>
  <c r="J18" i="3"/>
  <c r="D18" i="3" s="1"/>
  <c r="J16" i="3"/>
  <c r="D16" i="3" s="1"/>
  <c r="J14" i="3"/>
  <c r="D14" i="3" s="1"/>
  <c r="J12" i="3"/>
  <c r="D12" i="3" s="1"/>
  <c r="D28" i="3"/>
  <c r="K12" i="3" l="1"/>
  <c r="E12" i="3" s="1"/>
  <c r="K14" i="3"/>
  <c r="E14" i="3" s="1"/>
  <c r="K16" i="3"/>
  <c r="E16" i="3" s="1"/>
  <c r="M18" i="3"/>
  <c r="G18" i="3" s="1"/>
  <c r="M10" i="3"/>
  <c r="G10" i="3" s="1"/>
  <c r="M16" i="3"/>
  <c r="G16" i="3" s="1"/>
  <c r="M14" i="3"/>
  <c r="G14" i="3" s="1"/>
  <c r="M12" i="3"/>
  <c r="G12" i="3" s="1"/>
  <c r="N10" i="3"/>
  <c r="H10" i="3" s="1"/>
  <c r="L12" i="3"/>
  <c r="F12" i="3" s="1"/>
  <c r="N14" i="3"/>
  <c r="H14" i="3" s="1"/>
  <c r="L16" i="3"/>
  <c r="F16" i="3" s="1"/>
  <c r="J26" i="3"/>
  <c r="D26" i="3" s="1"/>
  <c r="K18" i="3"/>
  <c r="E18" i="3" s="1"/>
  <c r="L10" i="3"/>
  <c r="F10" i="3" s="1"/>
  <c r="N12" i="3"/>
  <c r="H12" i="3" s="1"/>
  <c r="L14" i="3"/>
  <c r="F14" i="3" s="1"/>
  <c r="N16" i="3"/>
  <c r="H16" i="3" s="1"/>
  <c r="L18" i="3"/>
  <c r="F18" i="3" s="1"/>
  <c r="J20" i="3"/>
  <c r="D20" i="3" s="1"/>
  <c r="J24" i="3"/>
  <c r="D24" i="3" s="1"/>
</calcChain>
</file>

<file path=xl/sharedStrings.xml><?xml version="1.0" encoding="utf-8"?>
<sst xmlns="http://schemas.openxmlformats.org/spreadsheetml/2006/main" count="238" uniqueCount="136">
  <si>
    <t>OMSCHRIJVING</t>
  </si>
  <si>
    <t>eenheid</t>
  </si>
  <si>
    <t>g/kg prod</t>
  </si>
  <si>
    <t>N</t>
  </si>
  <si>
    <t>P2O5</t>
  </si>
  <si>
    <t>K2O</t>
  </si>
  <si>
    <t>overschrijdingsfactor</t>
  </si>
  <si>
    <t>OS</t>
  </si>
  <si>
    <t>DS</t>
  </si>
  <si>
    <t>norm (kg/ha)</t>
  </si>
  <si>
    <t>max gift (kg/ha)</t>
  </si>
  <si>
    <t>parameter</t>
  </si>
  <si>
    <t>Som PCDD en PCDF</t>
  </si>
  <si>
    <t>HCH alpha</t>
  </si>
  <si>
    <t>HCH beta</t>
  </si>
  <si>
    <t>HCH gamma (Lindane)</t>
  </si>
  <si>
    <t>HCB</t>
  </si>
  <si>
    <t>Aldrin</t>
  </si>
  <si>
    <t>Dieldrin</t>
  </si>
  <si>
    <t xml:space="preserve">Som Aldrin en Dieldrin </t>
  </si>
  <si>
    <t>Endrin</t>
  </si>
  <si>
    <t>Isodrin</t>
  </si>
  <si>
    <t>Som Endrin en Isodrin</t>
  </si>
  <si>
    <t>Som DDD, DDE en DDT</t>
  </si>
  <si>
    <t>PCB 28</t>
  </si>
  <si>
    <t>PCB 52</t>
  </si>
  <si>
    <t>PCB 101</t>
  </si>
  <si>
    <t>PCB 118</t>
  </si>
  <si>
    <t>PCB 138</t>
  </si>
  <si>
    <t>PCB 153</t>
  </si>
  <si>
    <t>PCB 180</t>
  </si>
  <si>
    <t>Som 6 PCB's (excl 118)</t>
  </si>
  <si>
    <t>Naphthaleen</t>
  </si>
  <si>
    <t>Phenanthreen</t>
  </si>
  <si>
    <t>Anthraceen</t>
  </si>
  <si>
    <t>Fluorantheen</t>
  </si>
  <si>
    <t>Benz[a]anthraceen</t>
  </si>
  <si>
    <t>Chryseen</t>
  </si>
  <si>
    <t>Benzo[a]pyreen</t>
  </si>
  <si>
    <t>Benzo[ghi]peryleen</t>
  </si>
  <si>
    <t>Indeno[123-cd]pyreen</t>
  </si>
  <si>
    <t>Som PAK's</t>
  </si>
  <si>
    <t>Minerale olie</t>
  </si>
  <si>
    <t>Norm in mg/ kg X</t>
  </si>
  <si>
    <t>1,2,3,7,8-PeCDF</t>
  </si>
  <si>
    <t>2,3,4,7,8-PeCDF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</si>
  <si>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</si>
  <si>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</si>
  <si>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</si>
  <si>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</si>
  <si>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</si>
  <si>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</si>
  <si>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</si>
  <si>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2,3,7,8-TCDD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</si>
  <si>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</si>
  <si>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</si>
  <si>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</si>
  <si>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</si>
  <si>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</si>
  <si>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</si>
  <si>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DDD op'</t>
  </si>
  <si>
    <t>DDD pp'</t>
  </si>
  <si>
    <t>DDE op'</t>
  </si>
  <si>
    <t>DDE pp'</t>
  </si>
  <si>
    <t>DDT op'</t>
  </si>
  <si>
    <t>DDT pp'</t>
  </si>
  <si>
    <t>&lt;</t>
  </si>
  <si>
    <t>reken-</t>
  </si>
  <si>
    <t xml:space="preserve"> </t>
  </si>
  <si>
    <t xml:space="preserve">factor </t>
  </si>
  <si>
    <t>Benzo[k]fluorantheen</t>
  </si>
  <si>
    <t>getal</t>
  </si>
  <si>
    <t>mg/kg ds</t>
  </si>
  <si>
    <t>ng/kg ds</t>
  </si>
  <si>
    <t>µg/kg ds</t>
  </si>
  <si>
    <t>Betreft (optioneel)</t>
  </si>
  <si>
    <t>omrekeningsblad voor rekentool</t>
  </si>
  <si>
    <t xml:space="preserve">droge stof gehalte </t>
  </si>
  <si>
    <t>omrekenformules</t>
  </si>
  <si>
    <t>g ds/kg prod</t>
  </si>
  <si>
    <t>Analyseresultaat</t>
  </si>
  <si>
    <t>Rekentool eenheid</t>
  </si>
  <si>
    <t xml:space="preserve">waarde </t>
  </si>
  <si>
    <t>g X/kg prod</t>
  </si>
  <si>
    <t>g X/kg ds</t>
  </si>
  <si>
    <t>mg X/kg ds</t>
  </si>
  <si>
    <t>µg X/kg ds</t>
  </si>
  <si>
    <t>ng X/kg ds</t>
  </si>
  <si>
    <t>%X  prod</t>
  </si>
  <si>
    <t>mg X/kg prod</t>
  </si>
  <si>
    <t>µg X/kg prod</t>
  </si>
  <si>
    <t>ng/kg prod</t>
  </si>
  <si>
    <t>%X  ds</t>
  </si>
  <si>
    <t>N.B.: één van de twee invullen</t>
  </si>
  <si>
    <t>Cadmium (Cd)</t>
  </si>
  <si>
    <t>Chroom (Cr)</t>
  </si>
  <si>
    <t>Koper (Cu)</t>
  </si>
  <si>
    <t>Kwik (Hg)</t>
  </si>
  <si>
    <t>Nikkel (Ni)</t>
  </si>
  <si>
    <t>Lood (Pb)</t>
  </si>
  <si>
    <t>Zink (Zn)</t>
  </si>
  <si>
    <t xml:space="preserve">Arseen (As) </t>
  </si>
  <si>
    <t>Categorie</t>
  </si>
  <si>
    <t>Zware metalen</t>
  </si>
  <si>
    <t>Olie</t>
  </si>
  <si>
    <t>relaasnr</t>
  </si>
  <si>
    <t>x,y</t>
  </si>
  <si>
    <t>=  in de kolom met groene kop wordt voor deze component de norm overschreden</t>
  </si>
  <si>
    <t>g/kg product</t>
  </si>
  <si>
    <t>neutr. waarde</t>
  </si>
  <si>
    <t>Analyseresultaten</t>
  </si>
  <si>
    <t>monstercode</t>
  </si>
  <si>
    <t>product</t>
  </si>
  <si>
    <t>PCB's</t>
  </si>
  <si>
    <t>PAK's</t>
  </si>
  <si>
    <t>Dioxines</t>
  </si>
  <si>
    <t>Organochloor-
bestrijdingsmiddelen</t>
  </si>
  <si>
    <t>*</t>
  </si>
  <si>
    <r>
      <t>Analyseresultaat uitgedrukt in</t>
    </r>
    <r>
      <rPr>
        <b/>
        <sz val="14"/>
        <rFont val="Calibri"/>
        <family val="2"/>
        <scheme val="minor"/>
      </rPr>
      <t xml:space="preserve"> gram per kg </t>
    </r>
    <r>
      <rPr>
        <b/>
        <sz val="14"/>
        <color theme="5" tint="-0.249977111117893"/>
        <rFont val="Calibri"/>
        <family val="2"/>
        <scheme val="minor"/>
      </rPr>
      <t>droge stof</t>
    </r>
  </si>
  <si>
    <t>g/kg droge stof</t>
  </si>
  <si>
    <t xml:space="preserve">omrekening van g/kg droge stof naar </t>
  </si>
  <si>
    <r>
      <t xml:space="preserve">Analyseresultaat uitgedrukt in </t>
    </r>
    <r>
      <rPr>
        <b/>
        <sz val="14"/>
        <rFont val="Calibri"/>
        <family val="2"/>
        <scheme val="minor"/>
      </rPr>
      <t xml:space="preserve">gram per kg </t>
    </r>
    <r>
      <rPr>
        <b/>
        <sz val="14"/>
        <color theme="3" tint="0.39997558519241921"/>
        <rFont val="Calibri"/>
        <family val="2"/>
        <scheme val="minor"/>
      </rPr>
      <t>(vers) product</t>
    </r>
  </si>
  <si>
    <r>
      <t xml:space="preserve">Analyseresultaat voor droge stof in </t>
    </r>
    <r>
      <rPr>
        <b/>
        <sz val="14"/>
        <rFont val="Calibri"/>
        <family val="2"/>
        <scheme val="minor"/>
      </rPr>
      <t xml:space="preserve">gram per kg </t>
    </r>
    <r>
      <rPr>
        <b/>
        <sz val="14"/>
        <color theme="3" tint="0.39997558519241921"/>
        <rFont val="Calibri"/>
        <family val="2"/>
        <scheme val="minor"/>
      </rPr>
      <t>(vers) product</t>
    </r>
  </si>
  <si>
    <t>2,3,7,8-TCDF**</t>
  </si>
  <si>
    <t>= dit bestanddeel is het waardegevend bestanddeel* voor dit product waarop de toetsing wordt gedaan!</t>
  </si>
  <si>
    <t>**</t>
  </si>
  <si>
    <r>
      <t>P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O</t>
    </r>
    <r>
      <rPr>
        <vertAlign val="subscript"/>
        <sz val="14"/>
        <rFont val="Arial"/>
        <family val="2"/>
      </rPr>
      <t>5</t>
    </r>
  </si>
  <si>
    <r>
      <t>K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O</t>
    </r>
  </si>
  <si>
    <t>Rekenblad ter beoordeling overschrijding normen meststoffenwet</t>
  </si>
  <si>
    <t>serial no: 2024003</t>
  </si>
  <si>
    <t>organische stof (OS)</t>
  </si>
  <si>
    <t>droge stof (ds)</t>
  </si>
  <si>
    <t>individuele componenten worden wel geanalyseerd, toetsing alleen op som.</t>
  </si>
  <si>
    <t>analyseresultaat ingevuld  conform rapportage van het lab.</t>
  </si>
  <si>
    <r>
      <t>onder waardegevende bestanddelen worden verstaan totaal fosfor (uitgedrukt als fosforpentoxide P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5</t>
    </r>
    <r>
      <rPr>
        <sz val="14"/>
        <color theme="1"/>
        <rFont val="Calibri"/>
        <family val="2"/>
        <scheme val="minor"/>
      </rPr>
      <t xml:space="preserve"> en in de meststoffenwetgeving benoemd als fosfaat), stikstof (N), kalium (uitgedrukt als kaliumoxide K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O), neutraliserende waarde (uitgedrukt als g CaO/kg) (neutr. waarde) en organische stof (OS).</t>
    </r>
  </si>
  <si>
    <t>% van heel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</si>
</sst>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 ;[Red]\-#,##0.00\ "/>
    <numFmt numFmtId="165" formatCode="0.0"/>
    <numFmt numFmtId="166" formatCode="0.000"/>
    <numFmt numFmtId="167" formatCode="0.E+00"/>
    <numFmt numFmtId="168" formatCode="0.0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4"/>
      <color rgb="FFFFFF00"/>
      <name val="Calibri"/>
      <family val="2"/>
      <scheme val="minor"/>
    </font>
    <font>
      <sz val="14"/>
      <name val="Arial"/>
      <family val="2"/>
    </font>
    <font>
      <b/>
      <i/>
      <sz val="14"/>
      <color rgb="FFFF0000"/>
      <name val="Calibri"/>
      <family val="2"/>
      <scheme val="minor"/>
    </font>
    <font>
      <b/>
      <i/>
      <sz val="14"/>
      <color rgb="FFFF0000"/>
      <name val="Arial"/>
      <family val="2"/>
    </font>
    <font>
      <vertAlign val="subscript"/>
      <sz val="14"/>
      <name val="Arial"/>
      <family val="2"/>
    </font>
    <font>
      <sz val="14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  <family val="2"/>
    </font>
    <font>
      <vertAlign val="subscript"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90E2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3" borderId="0" applyNumberFormat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0" fillId="0" borderId="0" xfId="0" quotePrefix="1"/>
    <xf numFmtId="0" fontId="0" fillId="2" borderId="0" xfId="0" applyFill="1" applyProtection="1">
      <protection locked="0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8" fillId="2" borderId="4" xfId="0" applyFont="1" applyFill="1" applyBorder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8" fillId="2" borderId="0" xfId="0" applyFont="1" applyFill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4" xfId="0" applyFont="1" applyFill="1" applyBorder="1" applyAlignment="1" applyProtection="1">
      <alignment horizontal="right"/>
      <protection locked="0"/>
    </xf>
    <xf numFmtId="0" fontId="8" fillId="2" borderId="12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3" fillId="0" borderId="9" xfId="0" applyFont="1" applyBorder="1" applyAlignment="1">
      <alignment horizontal="left"/>
    </xf>
    <xf numFmtId="0" fontId="8" fillId="7" borderId="4" xfId="0" applyFont="1" applyFill="1" applyBorder="1" applyProtection="1">
      <protection locked="0"/>
    </xf>
    <xf numFmtId="0" fontId="8" fillId="2" borderId="0" xfId="0" applyNumberFormat="1" applyFont="1" applyFill="1" applyProtection="1">
      <protection locked="0"/>
    </xf>
    <xf numFmtId="0" fontId="8" fillId="2" borderId="0" xfId="0" applyNumberFormat="1" applyFont="1" applyFill="1" applyProtection="1">
      <protection hidden="1"/>
    </xf>
    <xf numFmtId="0" fontId="8" fillId="0" borderId="0" xfId="0" applyFont="1" applyProtection="1">
      <protection locked="0" hidden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/>
    <xf numFmtId="0" fontId="12" fillId="6" borderId="0" xfId="0" applyFont="1" applyFill="1"/>
    <xf numFmtId="0" fontId="13" fillId="0" borderId="7" xfId="1" applyFont="1" applyFill="1" applyBorder="1" applyAlignment="1">
      <alignment horizontal="center"/>
    </xf>
    <xf numFmtId="164" fontId="13" fillId="0" borderId="8" xfId="1" applyNumberFormat="1" applyFont="1" applyBorder="1" applyAlignment="1">
      <alignment horizontal="right"/>
    </xf>
    <xf numFmtId="1" fontId="8" fillId="0" borderId="0" xfId="0" applyNumberFormat="1" applyFont="1"/>
    <xf numFmtId="1" fontId="8" fillId="0" borderId="0" xfId="0" quotePrefix="1" applyNumberFormat="1" applyFont="1"/>
    <xf numFmtId="0" fontId="8" fillId="0" borderId="0" xfId="0" applyFont="1" applyBorder="1" applyAlignment="1">
      <alignment horizontal="right"/>
    </xf>
    <xf numFmtId="0" fontId="13" fillId="0" borderId="10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164" fontId="13" fillId="0" borderId="6" xfId="1" applyNumberFormat="1" applyFont="1" applyBorder="1" applyAlignment="1">
      <alignment horizontal="center"/>
    </xf>
    <xf numFmtId="164" fontId="13" fillId="0" borderId="2" xfId="1" applyNumberFormat="1" applyFont="1" applyBorder="1" applyAlignment="1">
      <alignment horizontal="center"/>
    </xf>
    <xf numFmtId="164" fontId="13" fillId="0" borderId="3" xfId="1" applyNumberFormat="1" applyFont="1" applyBorder="1" applyAlignment="1">
      <alignment horizontal="center"/>
    </xf>
    <xf numFmtId="2" fontId="8" fillId="0" borderId="0" xfId="0" applyNumberFormat="1" applyFont="1" applyFill="1"/>
    <xf numFmtId="1" fontId="8" fillId="0" borderId="0" xfId="0" applyNumberFormat="1" applyFont="1" applyFill="1"/>
    <xf numFmtId="165" fontId="8" fillId="0" borderId="0" xfId="0" applyNumberFormat="1" applyFont="1"/>
    <xf numFmtId="0" fontId="8" fillId="0" borderId="0" xfId="0" applyFont="1" applyBorder="1" applyAlignment="1">
      <alignment horizontal="right" vertical="center"/>
    </xf>
    <xf numFmtId="17" fontId="8" fillId="2" borderId="0" xfId="0" applyNumberFormat="1" applyFont="1" applyFill="1" applyProtection="1">
      <protection locked="0"/>
    </xf>
    <xf numFmtId="0" fontId="18" fillId="5" borderId="0" xfId="2" applyFont="1" applyFill="1"/>
    <xf numFmtId="0" fontId="14" fillId="7" borderId="0" xfId="2" applyFont="1" applyFill="1" applyAlignment="1">
      <alignment horizontal="right"/>
    </xf>
    <xf numFmtId="0" fontId="8" fillId="0" borderId="0" xfId="0" quotePrefix="1" applyFont="1"/>
    <xf numFmtId="0" fontId="18" fillId="0" borderId="0" xfId="2" applyFont="1" applyFill="1"/>
    <xf numFmtId="0" fontId="8" fillId="0" borderId="9" xfId="0" applyFont="1" applyBorder="1"/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8" fillId="0" borderId="11" xfId="0" applyFont="1" applyBorder="1"/>
    <xf numFmtId="0" fontId="8" fillId="0" borderId="7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Protection="1">
      <protection hidden="1"/>
    </xf>
    <xf numFmtId="0" fontId="8" fillId="0" borderId="2" xfId="0" applyFont="1" applyBorder="1"/>
    <xf numFmtId="0" fontId="8" fillId="0" borderId="3" xfId="0" applyFont="1" applyBorder="1"/>
    <xf numFmtId="0" fontId="8" fillId="0" borderId="2" xfId="0" quotePrefix="1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/>
    <xf numFmtId="0" fontId="8" fillId="0" borderId="8" xfId="0" applyFont="1" applyFill="1" applyBorder="1"/>
    <xf numFmtId="0" fontId="13" fillId="0" borderId="6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2" xfId="1" applyFont="1" applyBorder="1" applyAlignment="1" applyProtection="1">
      <alignment horizontal="center"/>
      <protection hidden="1"/>
    </xf>
    <xf numFmtId="0" fontId="8" fillId="0" borderId="1" xfId="0" applyFont="1" applyBorder="1" applyAlignment="1">
      <alignment horizontal="left"/>
    </xf>
    <xf numFmtId="0" fontId="8" fillId="0" borderId="14" xfId="0" applyFont="1" applyFill="1" applyBorder="1"/>
    <xf numFmtId="165" fontId="8" fillId="0" borderId="5" xfId="0" applyNumberFormat="1" applyFont="1" applyBorder="1" applyAlignment="1" applyProtection="1">
      <alignment horizontal="center"/>
      <protection hidden="1"/>
    </xf>
    <xf numFmtId="165" fontId="8" fillId="0" borderId="0" xfId="0" applyNumberFormat="1" applyFont="1" applyBorder="1" applyAlignment="1" applyProtection="1">
      <alignment horizontal="center"/>
      <protection hidden="1"/>
    </xf>
    <xf numFmtId="165" fontId="8" fillId="0" borderId="1" xfId="0" applyNumberFormat="1" applyFont="1" applyBorder="1" applyAlignment="1" applyProtection="1">
      <alignment horizontal="center"/>
      <protection hidden="1"/>
    </xf>
    <xf numFmtId="0" fontId="8" fillId="0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vertical="center"/>
    </xf>
    <xf numFmtId="0" fontId="17" fillId="0" borderId="14" xfId="0" applyFont="1" applyFill="1" applyBorder="1"/>
    <xf numFmtId="165" fontId="8" fillId="4" borderId="5" xfId="0" applyNumberFormat="1" applyFont="1" applyFill="1" applyBorder="1" applyAlignment="1" applyProtection="1">
      <alignment horizontal="center"/>
      <protection hidden="1"/>
    </xf>
    <xf numFmtId="165" fontId="8" fillId="4" borderId="0" xfId="0" applyNumberFormat="1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>
      <alignment horizontal="center"/>
    </xf>
    <xf numFmtId="165" fontId="8" fillId="4" borderId="1" xfId="0" applyNumberFormat="1" applyFont="1" applyFill="1" applyBorder="1" applyAlignment="1" applyProtection="1">
      <alignment horizontal="center"/>
      <protection hidden="1"/>
    </xf>
    <xf numFmtId="167" fontId="8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8" fillId="0" borderId="0" xfId="0" applyFont="1" applyFill="1" applyProtection="1">
      <protection hidden="1"/>
    </xf>
    <xf numFmtId="166" fontId="8" fillId="0" borderId="0" xfId="0" applyNumberFormat="1" applyFont="1" applyProtection="1">
      <protection hidden="1"/>
    </xf>
    <xf numFmtId="0" fontId="8" fillId="4" borderId="1" xfId="0" applyFont="1" applyFill="1" applyBorder="1"/>
    <xf numFmtId="0" fontId="1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6" borderId="0" xfId="0" applyFont="1" applyFill="1"/>
    <xf numFmtId="0" fontId="8" fillId="4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2" borderId="0" xfId="0" applyFont="1" applyFill="1"/>
    <xf numFmtId="0" fontId="8" fillId="6" borderId="0" xfId="0" applyFont="1" applyFill="1" applyAlignment="1">
      <alignment horizontal="right"/>
    </xf>
    <xf numFmtId="0" fontId="20" fillId="0" borderId="0" xfId="0" applyFont="1" applyAlignment="1">
      <alignment wrapText="1"/>
    </xf>
    <xf numFmtId="0" fontId="21" fillId="0" borderId="0" xfId="0" applyFont="1"/>
    <xf numFmtId="1" fontId="22" fillId="0" borderId="0" xfId="0" applyNumberFormat="1" applyFont="1" applyAlignment="1">
      <alignment horizontal="right" vertical="center" wrapText="1"/>
    </xf>
    <xf numFmtId="168" fontId="8" fillId="0" borderId="0" xfId="0" applyNumberFormat="1" applyFont="1" applyFill="1" applyProtection="1">
      <protection hidden="1"/>
    </xf>
    <xf numFmtId="0" fontId="23" fillId="0" borderId="0" xfId="0" applyFont="1" applyAlignment="1">
      <alignment horizontal="center"/>
    </xf>
    <xf numFmtId="0" fontId="23" fillId="0" borderId="9" xfId="0" applyFont="1" applyBorder="1" applyAlignment="1">
      <alignment horizontal="center"/>
    </xf>
    <xf numFmtId="0" fontId="17" fillId="0" borderId="0" xfId="0" quotePrefix="1" applyFont="1" applyFill="1" applyBorder="1" applyAlignment="1">
      <alignment horizontal="right" vertical="top"/>
    </xf>
    <xf numFmtId="0" fontId="0" fillId="0" borderId="0" xfId="0" applyAlignment="1" applyProtection="1">
      <alignment horizontal="center"/>
    </xf>
    <xf numFmtId="0" fontId="8" fillId="0" borderId="0" xfId="0" applyFont="1" applyAlignment="1">
      <alignment vertical="top" wrapText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5" fillId="0" borderId="2" xfId="1" applyFont="1" applyBorder="1" applyAlignment="1" applyProtection="1">
      <alignment horizontal="center" wrapText="1"/>
      <protection hidden="1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3">
    <cellStyle name="Bad" xfId="2" builtinId="27"/>
    <cellStyle name="Normal" xfId="0" builtinId="0"/>
    <cellStyle name="Normal 2" xfId="1" xr:uid="{00000000-0005-0000-0000-000002000000}"/>
  </cellStyles>
  <dxfs count="6">
    <dxf>
      <font>
        <b val="0"/>
        <i val="0"/>
        <strike val="0"/>
      </font>
    </dxf>
    <dxf>
      <font>
        <color auto="1"/>
      </font>
      <fill>
        <patternFill>
          <bgColor rgb="FF90E2A0"/>
        </patternFill>
      </fill>
    </dxf>
    <dxf>
      <font>
        <color auto="1"/>
      </font>
      <fill>
        <patternFill>
          <bgColor rgb="FF90E2A0"/>
        </patternFill>
      </fill>
    </dxf>
    <dxf>
      <font>
        <b/>
        <i/>
        <color rgb="FFFF0000"/>
      </font>
    </dxf>
    <dxf>
      <numFmt numFmtId="165" formatCode="0.0"/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0E2A0"/>
      <color rgb="FFFF9900"/>
      <color rgb="FFFFFF99"/>
      <color rgb="FFFF3300"/>
      <color rgb="FFBEE2C0"/>
      <color rgb="FFD4F2D8"/>
      <color rgb="FFCBF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1150620</xdr:colOff>
      <xdr:row>1</xdr:row>
      <xdr:rowOff>129540</xdr:rowOff>
    </xdr:from>
    <xdr:to>
      <xdr:col>8</xdr:col>
      <xdr:colOff>1937004</xdr:colOff>
      <xdr:row>4</xdr:row>
      <xdr:rowOff>201168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1B3863-2B3A-EBD3-ACB9-44DE462DC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414" y="364864"/>
          <a:ext cx="2837061" cy="8784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937260</xdr:colOff>
      <xdr:row>0</xdr:row>
      <xdr:rowOff>156210</xdr:rowOff>
    </xdr:from>
    <xdr:to>
      <xdr:col>8</xdr:col>
      <xdr:colOff>78971</xdr:colOff>
      <xdr:row>3</xdr:row>
      <xdr:rowOff>159258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7EADFF9-CADF-118A-850A-8FBFA0366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8710" y="156210"/>
          <a:ext cx="2084936" cy="650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S103"/>
  <sheetViews>
    <sheetView tabSelected="1" zoomScale="85" zoomScaleNormal="85" workbookViewId="0">
      <selection activeCell="H17" sqref="H17"/>
    </sheetView>
  </sheetViews>
  <sheetFormatPr defaultColWidth="9.140625" defaultRowHeight="18.75" x14ac:dyDescent="0.3"/>
  <cols>
    <col min="1" max="1" width="22" style="88" customWidth="1"/>
    <col min="2" max="2" width="27.5703125" style="88" customWidth="1"/>
    <col min="3" max="3" width="5" style="92" customWidth="1"/>
    <col min="4" max="4" width="13.5703125" style="88" bestFit="1" customWidth="1"/>
    <col min="5" max="5" width="15.85546875" style="88" customWidth="1"/>
    <col min="6" max="6" width="10.7109375" style="88" customWidth="1"/>
    <col min="7" max="11" width="30.7109375" style="88" customWidth="1"/>
    <col min="12" max="12" width="9.140625" style="88" hidden="1" customWidth="1"/>
    <col min="13" max="13" width="185.85546875" style="88" customWidth="1"/>
    <col min="14" max="14" width="10.28515625" style="88" customWidth="1"/>
    <col min="15" max="17" width="9.85546875" style="88" bestFit="1" customWidth="1"/>
    <col min="18" max="18" width="12.28515625" style="88" bestFit="1" customWidth="1"/>
    <col min="19" max="19" width="10.5703125" style="88" bestFit="1" customWidth="1"/>
    <col min="20" max="16384" width="9.140625" style="88"/>
  </cols>
  <sheetData>
    <row r="1" spans="1:19" s="24" customFormat="1" x14ac:dyDescent="0.3">
      <c r="A1" s="23"/>
      <c r="C1" s="25"/>
      <c r="I1" s="26"/>
      <c r="J1" s="26"/>
      <c r="M1" s="27"/>
    </row>
    <row r="2" spans="1:19" s="24" customFormat="1" ht="26.25" x14ac:dyDescent="0.4">
      <c r="A2" s="94" t="s">
        <v>128</v>
      </c>
      <c r="C2" s="5"/>
      <c r="I2" s="26"/>
      <c r="J2" s="103" t="s">
        <v>129</v>
      </c>
      <c r="K2" s="104"/>
      <c r="M2" s="27"/>
    </row>
    <row r="3" spans="1:19" s="24" customFormat="1" x14ac:dyDescent="0.3">
      <c r="A3" s="1"/>
      <c r="C3" s="5"/>
      <c r="I3" s="26"/>
      <c r="J3" s="26"/>
      <c r="M3" s="27"/>
    </row>
    <row r="4" spans="1:19" s="24" customFormat="1" x14ac:dyDescent="0.3">
      <c r="C4" s="25"/>
      <c r="I4" s="26"/>
      <c r="J4" s="26"/>
      <c r="M4" s="27"/>
    </row>
    <row r="5" spans="1:19" s="24" customFormat="1" x14ac:dyDescent="0.3">
      <c r="C5" s="25"/>
      <c r="I5" s="26"/>
      <c r="J5" s="26"/>
      <c r="M5" s="27"/>
    </row>
    <row r="6" spans="1:19" s="24" customFormat="1" x14ac:dyDescent="0.3">
      <c r="C6" s="25"/>
      <c r="I6" s="26"/>
      <c r="J6" s="26"/>
      <c r="M6" s="27"/>
    </row>
    <row r="7" spans="1:19" s="24" customFormat="1" x14ac:dyDescent="0.3">
      <c r="C7" s="25"/>
      <c r="I7" s="26"/>
      <c r="J7" s="26"/>
      <c r="M7" s="27"/>
    </row>
    <row r="8" spans="1:19" s="24" customFormat="1" x14ac:dyDescent="0.3">
      <c r="C8" s="25"/>
      <c r="G8" s="28" t="s">
        <v>131</v>
      </c>
      <c r="I8" s="26"/>
      <c r="J8" s="26"/>
      <c r="M8" s="27"/>
    </row>
    <row r="9" spans="1:19" s="24" customFormat="1" x14ac:dyDescent="0.3">
      <c r="C9" s="25"/>
      <c r="G9" s="29" t="s">
        <v>108</v>
      </c>
      <c r="I9" s="26"/>
      <c r="J9" s="26"/>
      <c r="M9" s="27"/>
    </row>
    <row r="10" spans="1:19" s="24" customFormat="1" x14ac:dyDescent="0.3">
      <c r="C10" s="25"/>
      <c r="F10" s="4" t="s">
        <v>122</v>
      </c>
      <c r="G10" s="15"/>
      <c r="H10" s="102" t="str">
        <f>IF(OR(AND(G17&gt;=0,H17&gt;=0,I17&gt;=0,J17&gt;=0,K17&gt;=0,G10=""),AND(G23&gt;=0,H23&gt;=0,I23&gt;=0,J23&gt;=0,K23&gt;=0,G10="")),"Vul hiernaast het analyseresultaat in voor droge stof",IF(OR(AND(SUM(G25:K25)&gt;G10,G17&gt;=0,H17&gt;=0,I17&gt;=0,J17&gt;=0,K17&gt;=0),AND(SUM(G26:K26)&gt;G10,G26&gt;=0,H26&gt;=0,I26&gt;=0,J26&gt;=0,K26&gt;=0)),"Het analyseresultaat voor droge stof is kleiner dan de som van de 5 waardegevende bestanddelen; controleer of er een correctie nodig is",""))</f>
        <v>Vul hiernaast het analyseresultaat in voor droge stof</v>
      </c>
      <c r="I10" s="102"/>
      <c r="J10" s="102"/>
      <c r="K10" s="102"/>
      <c r="M10" s="27"/>
    </row>
    <row r="11" spans="1:19" s="24" customFormat="1" x14ac:dyDescent="0.3">
      <c r="C11" s="25"/>
      <c r="H11" s="102"/>
      <c r="I11" s="102"/>
      <c r="J11" s="102"/>
      <c r="K11" s="102"/>
      <c r="M11" s="27"/>
    </row>
    <row r="12" spans="1:19" s="24" customFormat="1" x14ac:dyDescent="0.3">
      <c r="C12" s="25"/>
      <c r="H12" s="102"/>
      <c r="I12" s="102"/>
      <c r="J12" s="102"/>
      <c r="K12" s="102"/>
      <c r="M12" s="27"/>
      <c r="P12" s="30"/>
      <c r="S12" s="31"/>
    </row>
    <row r="13" spans="1:19" s="24" customFormat="1" ht="31.5" customHeight="1" x14ac:dyDescent="0.3">
      <c r="C13" s="25"/>
      <c r="F13" s="32"/>
      <c r="M13" s="27"/>
      <c r="P13" s="30"/>
      <c r="S13" s="31"/>
    </row>
    <row r="14" spans="1:19" s="24" customFormat="1" ht="30.75" customHeight="1" x14ac:dyDescent="0.3">
      <c r="C14" s="25"/>
      <c r="F14" s="32"/>
      <c r="G14" s="105" t="str">
        <f>IF(AND($G23&gt;0,$H23&gt;0,$I23&gt;0,$J23&gt;0,$K23&gt;0),"",IF(OR(G23&gt;0,H23&gt;0,I23&gt;0,J23&gt;0,K23&gt;0,G17="",H17="",I17="",J17="",K17=""),"Als de waardegevende bestanddelen zijn uitgedrukt in g/kg (vers) product, vul dan hieronder voor elk van 
de vijf bestanddelen het analyseresultaat in en verwijder indien nodig op rij 23 alle ingevoerde gegevens",""))</f>
        <v>Als de waardegevende bestanddelen zijn uitgedrukt in g/kg (vers) product, vul dan hieronder voor elk van 
de vijf bestanddelen het analyseresultaat in en verwijder indien nodig op rij 23 alle ingevoerde gegevens</v>
      </c>
      <c r="H14" s="105"/>
      <c r="I14" s="105"/>
      <c r="J14" s="105"/>
      <c r="K14" s="105"/>
      <c r="M14" s="27"/>
      <c r="P14" s="30"/>
      <c r="S14" s="31"/>
    </row>
    <row r="15" spans="1:19" s="24" customFormat="1" ht="21" x14ac:dyDescent="0.35">
      <c r="C15" s="25"/>
      <c r="F15" s="32" t="s">
        <v>0</v>
      </c>
      <c r="G15" s="33" t="s">
        <v>126</v>
      </c>
      <c r="H15" s="34" t="s">
        <v>3</v>
      </c>
      <c r="I15" s="97" t="s">
        <v>127</v>
      </c>
      <c r="J15" s="34" t="s">
        <v>109</v>
      </c>
      <c r="K15" s="35" t="s">
        <v>130</v>
      </c>
      <c r="L15" s="36" t="s">
        <v>8</v>
      </c>
      <c r="M15" s="27"/>
      <c r="P15" s="30"/>
      <c r="S15" s="31"/>
    </row>
    <row r="16" spans="1:19" s="24" customFormat="1" x14ac:dyDescent="0.3">
      <c r="C16" s="25"/>
      <c r="F16" s="37" t="s">
        <v>1</v>
      </c>
      <c r="G16" s="38" t="s">
        <v>2</v>
      </c>
      <c r="H16" s="39" t="s">
        <v>2</v>
      </c>
      <c r="I16" s="97" t="s">
        <v>2</v>
      </c>
      <c r="J16" s="39" t="s">
        <v>2</v>
      </c>
      <c r="K16" s="40" t="s">
        <v>2</v>
      </c>
      <c r="L16" s="39" t="s">
        <v>2</v>
      </c>
      <c r="M16" s="27"/>
      <c r="P16" s="30"/>
      <c r="S16" s="31"/>
    </row>
    <row r="17" spans="1:19" s="24" customFormat="1" x14ac:dyDescent="0.3">
      <c r="C17" s="25"/>
      <c r="F17" s="4" t="s">
        <v>121</v>
      </c>
      <c r="G17" s="17"/>
      <c r="H17" s="12"/>
      <c r="I17" s="12"/>
      <c r="J17" s="16"/>
      <c r="K17" s="18"/>
      <c r="L17" s="20" t="str">
        <f>IF(G10="","",G10)</f>
        <v/>
      </c>
      <c r="M17" s="27">
        <v>500</v>
      </c>
      <c r="P17" s="30"/>
      <c r="S17" s="31"/>
    </row>
    <row r="18" spans="1:19" s="24" customFormat="1" x14ac:dyDescent="0.3">
      <c r="C18" s="25"/>
      <c r="F18" s="4"/>
      <c r="M18" s="27"/>
      <c r="P18" s="30"/>
      <c r="S18" s="31"/>
    </row>
    <row r="19" spans="1:19" s="24" customFormat="1" x14ac:dyDescent="0.3">
      <c r="C19" s="25"/>
      <c r="F19" s="4"/>
      <c r="G19" s="24" t="s">
        <v>68</v>
      </c>
      <c r="M19" s="27"/>
      <c r="P19" s="30"/>
      <c r="S19" s="31"/>
    </row>
    <row r="20" spans="1:19" s="24" customFormat="1" ht="34.5" customHeight="1" x14ac:dyDescent="0.3">
      <c r="C20" s="25"/>
      <c r="F20" s="4"/>
      <c r="G20" s="105" t="str">
        <f>IF(AND($G17&gt;0,$H17&gt;0,$I17&gt;0,$J17&gt;0,$K17&gt;0),"",IF(OR($G17&gt;0,$H17&gt;0,$I17&gt;0,$J17&gt;0,$K17&gt;0,$G23="",H23="",I23="",J23="",K23=""),"Als de waardegevende bestanddelen zijn uitgedrukt in g/kg droge stof, vul dan hieronder voor elk van 
de vijf bestanddelen het analyseresultaat in en verwijder indien nodig op rij 17 alle ingevoerde gegevens",""))</f>
        <v>Als de waardegevende bestanddelen zijn uitgedrukt in g/kg droge stof, vul dan hieronder voor elk van 
de vijf bestanddelen het analyseresultaat in en verwijder indien nodig op rij 17 alle ingevoerde gegevens</v>
      </c>
      <c r="H20" s="105"/>
      <c r="I20" s="105"/>
      <c r="J20" s="105"/>
      <c r="K20" s="105"/>
      <c r="M20" s="27"/>
      <c r="P20" s="30"/>
      <c r="S20" s="31"/>
    </row>
    <row r="21" spans="1:19" s="24" customFormat="1" ht="21" x14ac:dyDescent="0.35">
      <c r="C21" s="25"/>
      <c r="F21" s="32" t="s">
        <v>0</v>
      </c>
      <c r="G21" s="33" t="s">
        <v>126</v>
      </c>
      <c r="H21" s="34" t="s">
        <v>3</v>
      </c>
      <c r="I21" s="98" t="s">
        <v>127</v>
      </c>
      <c r="J21" s="34" t="s">
        <v>109</v>
      </c>
      <c r="K21" s="35" t="s">
        <v>130</v>
      </c>
      <c r="L21" s="36" t="s">
        <v>8</v>
      </c>
      <c r="M21" s="27"/>
      <c r="P21" s="30"/>
      <c r="S21" s="31"/>
    </row>
    <row r="22" spans="1:19" s="24" customFormat="1" x14ac:dyDescent="0.3">
      <c r="C22" s="25"/>
      <c r="F22" s="37" t="s">
        <v>1</v>
      </c>
      <c r="G22" s="38" t="s">
        <v>119</v>
      </c>
      <c r="H22" s="39" t="s">
        <v>119</v>
      </c>
      <c r="I22" s="97" t="s">
        <v>119</v>
      </c>
      <c r="J22" s="39" t="s">
        <v>119</v>
      </c>
      <c r="K22" s="40" t="s">
        <v>119</v>
      </c>
      <c r="L22" s="39" t="s">
        <v>2</v>
      </c>
      <c r="M22" s="27"/>
      <c r="P22" s="30"/>
      <c r="S22" s="31"/>
    </row>
    <row r="23" spans="1:19" s="24" customFormat="1" x14ac:dyDescent="0.3">
      <c r="C23" s="25"/>
      <c r="F23" s="4" t="s">
        <v>118</v>
      </c>
      <c r="G23" s="17"/>
      <c r="H23" s="12"/>
      <c r="I23" s="12"/>
      <c r="J23" s="16"/>
      <c r="K23" s="18"/>
      <c r="L23" s="20" t="str">
        <f>IF(G10="","",G10)</f>
        <v/>
      </c>
      <c r="M23" s="27"/>
      <c r="P23" s="30"/>
      <c r="S23" s="31"/>
    </row>
    <row r="24" spans="1:19" s="24" customFormat="1" x14ac:dyDescent="0.3">
      <c r="C24" s="25"/>
      <c r="F24" s="4"/>
      <c r="M24" s="27"/>
      <c r="P24" s="30"/>
      <c r="S24" s="31"/>
    </row>
    <row r="25" spans="1:19" s="24" customFormat="1" hidden="1" x14ac:dyDescent="0.3">
      <c r="C25" s="25"/>
      <c r="F25" s="32" t="s">
        <v>2</v>
      </c>
      <c r="G25" s="41" t="str">
        <f>IF(G17="","",G17)</f>
        <v/>
      </c>
      <c r="H25" s="41" t="str">
        <f t="shared" ref="H25:K25" si="0">IF(H17="","",H17)</f>
        <v/>
      </c>
      <c r="I25" s="41" t="str">
        <f t="shared" si="0"/>
        <v/>
      </c>
      <c r="J25" s="41" t="str">
        <f t="shared" si="0"/>
        <v/>
      </c>
      <c r="K25" s="41" t="str">
        <f t="shared" si="0"/>
        <v/>
      </c>
      <c r="L25" s="42" t="str">
        <f>L17</f>
        <v/>
      </c>
      <c r="M25" s="27"/>
      <c r="P25" s="30"/>
      <c r="S25" s="31"/>
    </row>
    <row r="26" spans="1:19" s="24" customFormat="1" ht="15" hidden="1" customHeight="1" x14ac:dyDescent="0.3">
      <c r="C26" s="25"/>
      <c r="E26" s="25" t="s">
        <v>120</v>
      </c>
      <c r="F26" s="32" t="s">
        <v>2</v>
      </c>
      <c r="G26" s="43" t="str">
        <f>IF(OR($G$10="",G23=""),"",G23*$G$10/1000)</f>
        <v/>
      </c>
      <c r="H26" s="43" t="str">
        <f t="shared" ref="H26:K26" si="1">IF(OR($G$10="",H23=""),"",H23*$G$10/1000)</f>
        <v/>
      </c>
      <c r="I26" s="43" t="str">
        <f t="shared" si="1"/>
        <v/>
      </c>
      <c r="J26" s="43" t="str">
        <f t="shared" si="1"/>
        <v/>
      </c>
      <c r="K26" s="43" t="str">
        <f t="shared" si="1"/>
        <v/>
      </c>
      <c r="L26" s="24" t="str">
        <f>L23</f>
        <v/>
      </c>
      <c r="M26" s="27"/>
      <c r="P26" s="30"/>
      <c r="S26" s="31"/>
    </row>
    <row r="27" spans="1:19" s="24" customFormat="1" x14ac:dyDescent="0.3">
      <c r="B27" s="24" t="s">
        <v>75</v>
      </c>
      <c r="C27" s="25"/>
      <c r="F27" s="32" t="s">
        <v>9</v>
      </c>
      <c r="G27" s="24">
        <v>80</v>
      </c>
      <c r="H27" s="24">
        <v>100</v>
      </c>
      <c r="I27" s="26">
        <v>150</v>
      </c>
      <c r="J27" s="26">
        <v>400</v>
      </c>
      <c r="K27" s="24">
        <v>3000</v>
      </c>
      <c r="M27" s="27"/>
      <c r="P27" s="30"/>
      <c r="S27" s="31"/>
    </row>
    <row r="28" spans="1:19" s="24" customFormat="1" ht="53.25" customHeight="1" x14ac:dyDescent="0.3">
      <c r="A28" s="24" t="s">
        <v>111</v>
      </c>
      <c r="B28" s="14"/>
      <c r="C28" s="25"/>
      <c r="F28" s="44" t="s">
        <v>10</v>
      </c>
      <c r="G28" s="95" t="str">
        <f>IF($G$10="","Vul het analyseresultaat voor droge stof in",IF(AND($G17&gt;0,$H17&gt;0,$I17&gt;0,$J17&gt;0,$K17&gt;0,OR($G23&gt;0,$H23&gt;0,$I23&gt;0,$J23&gt;0,$K23&gt;0)),"Zijn de resultaten voor de waardegevende bestanddelen uitgedrukt in g/kg (vers) product, verwijder dan op rij 23 alle ingevoerde gegevens!!",IF(AND($G23&gt;0,$H23&gt;0,$I23&gt;0,$J23&gt;0,$K23&gt;0,OR($G17&gt;0,$H17&gt;0,$I17&gt;0,$J17&gt;0,$K17&gt;0)),"Zijn de resultaten voor de waardegevende bestanddelen uitgedrukt in g/kg droge stof, verwijder dan op rij 17 alle ingevoerde gegevens!!",IF(AND($G17&gt;0,$H17&gt;0,$I17&gt;0,$J17&gt;0,$K17&gt;0,$G23="",$H23="",$I23="",$J23="",$K23=""),G27*1000/G25,IF(AND($G23&gt;0,$H23&gt;0,$I23&gt;0,$J23&gt;0,$K23&gt;0,$G17="",$H17="",$I17="",$J17="",$K17=""),G27*1000/G26,"")))))</f>
        <v>Vul het analyseresultaat voor droge stof in</v>
      </c>
      <c r="H28" s="95" t="str">
        <f t="shared" ref="H28:K28" si="2">IF($G$10="","Vul het analyseresultaat voor droge stof in",IF(AND($G17&gt;0,$H17&gt;0,$I17&gt;0,$J17&gt;0,$K17&gt;0,OR($G23&gt;0,$H23&gt;0,$I23&gt;0,$J23&gt;0,$K23&gt;0)),"Zijn de resultaten voor de waardegevende bestanddelen uitgedrukt in g/kg (vers) product, verwijder dan op rij 23 alle ingevoerde gegevens!!",IF(AND($G23&gt;0,$H23&gt;0,$I23&gt;0,$J23&gt;0,$K23&gt;0,OR($G17&gt;0,$H17&gt;0,$I17&gt;0,$J17&gt;0,$K17&gt;0)),"Zijn de resultaten voor de waardegevende bestanddelen uitgedrukt in g/kg droge stof, verwijder dan op rij 17 alle ingevoerde gegevens!!",IF(AND($G17&gt;0,$H17&gt;0,$I17&gt;0,$J17&gt;0,$K17&gt;0,$G23="",$H23="",$I23="",$J23="",$K23=""),H27*1000/H25,IF(AND($G23&gt;0,$H23&gt;0,$I23&gt;0,$J23&gt;0,$K23&gt;0,$G17="",$H17="",$I17="",$J17="",$K17=""),H27*1000/H26,"")))))</f>
        <v>Vul het analyseresultaat voor droge stof in</v>
      </c>
      <c r="I28" s="95" t="str">
        <f t="shared" si="2"/>
        <v>Vul het analyseresultaat voor droge stof in</v>
      </c>
      <c r="J28" s="95" t="str">
        <f t="shared" si="2"/>
        <v>Vul het analyseresultaat voor droge stof in</v>
      </c>
      <c r="K28" s="95" t="str">
        <f t="shared" si="2"/>
        <v>Vul het analyseresultaat voor droge stof in</v>
      </c>
      <c r="M28" s="27"/>
      <c r="P28" s="30"/>
      <c r="S28" s="31"/>
    </row>
    <row r="29" spans="1:19" s="24" customFormat="1" x14ac:dyDescent="0.3">
      <c r="A29" s="24" t="s">
        <v>105</v>
      </c>
      <c r="B29" s="45"/>
      <c r="C29" s="25"/>
      <c r="F29" s="32"/>
      <c r="G29" s="30"/>
      <c r="H29" s="30"/>
      <c r="I29" s="26"/>
      <c r="J29" s="26"/>
      <c r="K29" s="30"/>
      <c r="M29" s="27"/>
      <c r="P29" s="30"/>
      <c r="S29" s="31"/>
    </row>
    <row r="30" spans="1:19" s="24" customFormat="1" x14ac:dyDescent="0.3">
      <c r="A30" s="24" t="s">
        <v>112</v>
      </c>
      <c r="B30" s="45"/>
      <c r="C30" s="25"/>
      <c r="F30" s="32"/>
      <c r="G30" s="30"/>
      <c r="H30" s="30"/>
      <c r="I30" s="26"/>
      <c r="J30" s="26"/>
      <c r="K30" s="30"/>
      <c r="M30" s="27"/>
      <c r="P30" s="30"/>
      <c r="S30" s="31"/>
    </row>
    <row r="31" spans="1:19" s="24" customFormat="1" x14ac:dyDescent="0.3">
      <c r="C31" s="25"/>
      <c r="I31" s="26"/>
      <c r="J31" s="26"/>
      <c r="M31" s="27"/>
    </row>
    <row r="32" spans="1:19" s="24" customFormat="1" x14ac:dyDescent="0.3">
      <c r="A32" s="46"/>
      <c r="B32" s="31" t="s">
        <v>124</v>
      </c>
      <c r="C32" s="25"/>
      <c r="I32" s="26"/>
      <c r="J32" s="26"/>
      <c r="M32" s="27"/>
    </row>
    <row r="33" spans="1:19" s="24" customFormat="1" x14ac:dyDescent="0.3">
      <c r="A33" s="47" t="s">
        <v>106</v>
      </c>
      <c r="B33" s="48" t="s">
        <v>107</v>
      </c>
      <c r="C33" s="25"/>
      <c r="I33" s="26"/>
      <c r="J33" s="26"/>
      <c r="M33" s="27"/>
    </row>
    <row r="34" spans="1:19" s="24" customFormat="1" x14ac:dyDescent="0.3">
      <c r="B34" s="49"/>
      <c r="C34" s="48"/>
      <c r="I34" s="26"/>
      <c r="J34" s="26"/>
      <c r="M34" s="27"/>
    </row>
    <row r="35" spans="1:19" s="24" customFormat="1" x14ac:dyDescent="0.3">
      <c r="A35" s="50"/>
      <c r="B35" s="51"/>
      <c r="C35" s="52"/>
      <c r="D35" s="19" t="s">
        <v>110</v>
      </c>
      <c r="E35" s="53"/>
      <c r="F35" s="54" t="s">
        <v>67</v>
      </c>
      <c r="G35" s="106" t="s">
        <v>6</v>
      </c>
      <c r="H35" s="107"/>
      <c r="I35" s="107"/>
      <c r="J35" s="107"/>
      <c r="K35" s="108"/>
      <c r="M35" s="27"/>
      <c r="N35" s="55"/>
      <c r="O35" s="56" t="s">
        <v>43</v>
      </c>
      <c r="P35" s="56"/>
      <c r="Q35" s="56"/>
      <c r="R35" s="56"/>
      <c r="S35" s="56"/>
    </row>
    <row r="36" spans="1:19" s="24" customFormat="1" ht="21" x14ac:dyDescent="0.35">
      <c r="A36" s="57" t="s">
        <v>102</v>
      </c>
      <c r="B36" s="58" t="s">
        <v>11</v>
      </c>
      <c r="C36" s="59" t="s">
        <v>66</v>
      </c>
      <c r="D36" s="60" t="s">
        <v>71</v>
      </c>
      <c r="E36" s="61" t="s">
        <v>1</v>
      </c>
      <c r="F36" s="62" t="s">
        <v>1</v>
      </c>
      <c r="G36" s="63" t="s">
        <v>126</v>
      </c>
      <c r="H36" s="64" t="s">
        <v>3</v>
      </c>
      <c r="I36" s="64" t="s">
        <v>127</v>
      </c>
      <c r="J36" s="64" t="s">
        <v>109</v>
      </c>
      <c r="K36" s="65" t="s">
        <v>7</v>
      </c>
      <c r="M36" s="27"/>
      <c r="N36" s="66" t="s">
        <v>69</v>
      </c>
      <c r="O36" s="67" t="s">
        <v>4</v>
      </c>
      <c r="P36" s="67" t="s">
        <v>3</v>
      </c>
      <c r="Q36" s="67" t="s">
        <v>5</v>
      </c>
      <c r="R36" s="67" t="s">
        <v>109</v>
      </c>
      <c r="S36" s="67" t="s">
        <v>7</v>
      </c>
    </row>
    <row r="37" spans="1:19" s="24" customFormat="1" x14ac:dyDescent="0.3">
      <c r="A37" s="24" t="s">
        <v>103</v>
      </c>
      <c r="B37" s="68" t="s">
        <v>94</v>
      </c>
      <c r="C37" s="13"/>
      <c r="D37" s="21"/>
      <c r="E37" s="14"/>
      <c r="F37" s="69" t="s">
        <v>72</v>
      </c>
      <c r="G37" s="70" t="str">
        <f>IF(OR($D37="",$G$10=""),"",IF(AND(G$17&gt;0,G$23&gt;0),"",IF(AND($G$17&gt;0,$H$17&gt;0,$I$17&gt;0,$J$17&gt;0,$K$17&gt;0,$G$23="",$H$23="",$I$23="",$J$23="",$K$23="",G$28=MIN($G$28:$K$28)),$N37*$D37/G$25*$L$25/O37,IF(AND($G$23&gt;0,$H$23&gt;0,$I$23&gt;0,$J$23&gt;0,$K$23&gt;0,$G$17="",$H$17="",$I$17="",$J$17="",$K$17="",G$28=MIN($G$28:$K$28)),$N37*$D37/G$26*$L$26/O37,""))))</f>
        <v/>
      </c>
      <c r="H37" s="71" t="str">
        <f t="shared" ref="H37:K37" si="3">IF(OR($D37="",$G$10=""),"",IF(AND(H$17&gt;0,H$23&gt;0),"",IF(AND($G$17&gt;0,$H$17&gt;0,$I$17&gt;0,$J$17&gt;0,$K$17&gt;0,$G$23="",$H$23="",$I$23="",$J$23="",$K$23="",H$28=MIN($G$28:$K$28)),$N37*$D37/H$25*$L$25/P37,IF(AND($G$23&gt;0,$H$23&gt;0,$I$23&gt;0,$J$23&gt;0,$K$23&gt;0,$G$17="",$H$17="",$I$17="",$J$17="",$K$17="",H$28=MIN($G$28:$K$28)),$N37*$D37/H$26*$L$26/P37,""))))</f>
        <v/>
      </c>
      <c r="I37" s="71" t="str">
        <f t="shared" si="3"/>
        <v/>
      </c>
      <c r="J37" s="71" t="str">
        <f t="shared" si="3"/>
        <v/>
      </c>
      <c r="K37" s="72" t="str">
        <f t="shared" si="3"/>
        <v/>
      </c>
      <c r="M37" s="27"/>
      <c r="N37" s="73">
        <v>1</v>
      </c>
      <c r="O37" s="56">
        <v>31.3</v>
      </c>
      <c r="P37" s="56">
        <v>25</v>
      </c>
      <c r="Q37" s="56">
        <v>16.7</v>
      </c>
      <c r="R37" s="56">
        <v>6.3</v>
      </c>
      <c r="S37" s="56">
        <v>0.8</v>
      </c>
    </row>
    <row r="38" spans="1:19" s="24" customFormat="1" x14ac:dyDescent="0.3">
      <c r="B38" s="68" t="s">
        <v>95</v>
      </c>
      <c r="C38" s="13"/>
      <c r="D38" s="21"/>
      <c r="E38" s="14"/>
      <c r="F38" s="69" t="s">
        <v>72</v>
      </c>
      <c r="G38" s="70" t="str">
        <f t="shared" ref="G38:G44" si="4">IF(OR($D38="",$G$10=""),"",IF(AND(G$17&gt;0,G$23&gt;0),"",IF(AND($G$17&gt;0,$H$17&gt;0,$I$17&gt;0,$J$17&gt;0,$K$17&gt;0,$G$23="",$H$23="",$I$23="",$J$23="",$K$23="",G$28=MIN($G$28:$K$28)),$N38*$D38/G$25*$L$25/O38,IF(AND($G$23&gt;0,$H$23&gt;0,$I$23&gt;0,$J$23&gt;0,$K$23&gt;0,$G$17="",$H$17="",$I$17="",$J$17="",$K$17="",G$28=MIN($G$28:$K$28)),$N38*$D38/G$26*$L$26/O38,""))))</f>
        <v/>
      </c>
      <c r="H38" s="71" t="str">
        <f t="shared" ref="H38:H44" si="5">IF(OR($D38="",$G$10=""),"",IF(AND(H$17&gt;0,H$23&gt;0),"",IF(AND($G$17&gt;0,$H$17&gt;0,$I$17&gt;0,$J$17&gt;0,$K$17&gt;0,$G$23="",$H$23="",$I$23="",$J$23="",$K$23="",H$28=MIN($G$28:$K$28)),$N38*$D38/H$25*$L$25/P38,IF(AND($G$23&gt;0,$H$23&gt;0,$I$23&gt;0,$J$23&gt;0,$K$23&gt;0,$G$17="",$H$17="",$I$17="",$J$17="",$K$17="",H$28=MIN($G$28:$K$28)),$N38*$D38/H$26*$L$26/P38,""))))</f>
        <v/>
      </c>
      <c r="I38" s="71" t="str">
        <f t="shared" ref="I38:I44" si="6">IF(OR($D38="",$G$10=""),"",IF(AND(I$17&gt;0,I$23&gt;0),"",IF(AND($G$17&gt;0,$H$17&gt;0,$I$17&gt;0,$J$17&gt;0,$K$17&gt;0,$G$23="",$H$23="",$I$23="",$J$23="",$K$23="",I$28=MIN($G$28:$K$28)),$N38*$D38/I$25*$L$25/Q38,IF(AND($G$23&gt;0,$H$23&gt;0,$I$23&gt;0,$J$23&gt;0,$K$23&gt;0,$G$17="",$H$17="",$I$17="",$J$17="",$K$17="",I$28=MIN($G$28:$K$28)),$N38*$D38/I$26*$L$26/Q38,""))))</f>
        <v/>
      </c>
      <c r="J38" s="71" t="str">
        <f t="shared" ref="J38:J43" si="7">IF(OR($D38="",$G$10=""),"",IF(AND(J$17&gt;0,J$23&gt;0),"",IF(AND($G$17&gt;0,$H$17&gt;0,$I$17&gt;0,$J$17&gt;0,$K$17&gt;0,$G$23="",$H$23="",$I$23="",$J$23="",$K$23="",J$28=MIN($G$28:$K$28)),$N38*$D38/J$25*$L$25/R38,IF(AND($G$23&gt;0,$H$23&gt;0,$I$23&gt;0,$J$23&gt;0,$K$23&gt;0,$G$17="",$H$17="",$I$17="",$J$17="",$K$17="",J$28=MIN($G$28:$K$28)),$N38*$D38/J$26*$L$26/R38,""))))</f>
        <v/>
      </c>
      <c r="K38" s="72" t="str">
        <f t="shared" ref="K38:K44" si="8">IF(OR($D38="",$G$10=""),"",IF(AND(K$17&gt;0,K$23&gt;0),"",IF(AND($G$17&gt;0,$H$17&gt;0,$I$17&gt;0,$J$17&gt;0,$K$17&gt;0,$G$23="",$H$23="",$I$23="",$J$23="",$K$23="",K$28=MIN($G$28:$K$28)),$N38*$D38/K$25*$L$25/S38,IF(AND($G$23&gt;0,$H$23&gt;0,$I$23&gt;0,$J$23&gt;0,$K$23&gt;0,$G$17="",$H$17="",$I$17="",$J$17="",$K$17="",K$28=MIN($G$28:$K$28)),$N38*$D38/K$26*$L$26/S38,""))))</f>
        <v/>
      </c>
      <c r="M38" s="27"/>
      <c r="N38" s="73">
        <v>1</v>
      </c>
      <c r="O38" s="56">
        <v>1875</v>
      </c>
      <c r="P38" s="56">
        <v>1500</v>
      </c>
      <c r="Q38" s="56">
        <v>1000</v>
      </c>
      <c r="R38" s="56">
        <v>375</v>
      </c>
      <c r="S38" s="56">
        <v>50</v>
      </c>
    </row>
    <row r="39" spans="1:19" s="24" customFormat="1" x14ac:dyDescent="0.3">
      <c r="B39" s="68" t="s">
        <v>96</v>
      </c>
      <c r="C39" s="13"/>
      <c r="D39" s="21"/>
      <c r="E39" s="14"/>
      <c r="F39" s="69" t="s">
        <v>72</v>
      </c>
      <c r="G39" s="70" t="str">
        <f t="shared" si="4"/>
        <v/>
      </c>
      <c r="H39" s="71" t="str">
        <f t="shared" si="5"/>
        <v/>
      </c>
      <c r="I39" s="71" t="str">
        <f t="shared" si="6"/>
        <v/>
      </c>
      <c r="J39" s="71" t="str">
        <f t="shared" si="7"/>
        <v/>
      </c>
      <c r="K39" s="72" t="str">
        <f t="shared" si="8"/>
        <v/>
      </c>
      <c r="M39" s="27"/>
      <c r="N39" s="73">
        <v>1</v>
      </c>
      <c r="O39" s="56">
        <v>1875</v>
      </c>
      <c r="P39" s="56">
        <v>1500</v>
      </c>
      <c r="Q39" s="56">
        <v>1000</v>
      </c>
      <c r="R39" s="56">
        <v>375</v>
      </c>
      <c r="S39" s="56">
        <v>50</v>
      </c>
    </row>
    <row r="40" spans="1:19" s="24" customFormat="1" x14ac:dyDescent="0.3">
      <c r="B40" s="68" t="s">
        <v>97</v>
      </c>
      <c r="C40" s="13"/>
      <c r="D40" s="21"/>
      <c r="E40" s="14"/>
      <c r="F40" s="69" t="s">
        <v>72</v>
      </c>
      <c r="G40" s="70" t="str">
        <f t="shared" si="4"/>
        <v/>
      </c>
      <c r="H40" s="71" t="str">
        <f t="shared" si="5"/>
        <v/>
      </c>
      <c r="I40" s="71" t="str">
        <f t="shared" si="6"/>
        <v/>
      </c>
      <c r="J40" s="71" t="str">
        <f t="shared" si="7"/>
        <v/>
      </c>
      <c r="K40" s="72" t="str">
        <f t="shared" si="8"/>
        <v/>
      </c>
      <c r="M40" s="27"/>
      <c r="N40" s="73">
        <v>1</v>
      </c>
      <c r="O40" s="56">
        <v>18.8</v>
      </c>
      <c r="P40" s="56">
        <v>15</v>
      </c>
      <c r="Q40" s="56">
        <v>10</v>
      </c>
      <c r="R40" s="56">
        <v>3.8</v>
      </c>
      <c r="S40" s="56">
        <v>0.5</v>
      </c>
    </row>
    <row r="41" spans="1:19" s="24" customFormat="1" x14ac:dyDescent="0.3">
      <c r="B41" s="68" t="s">
        <v>98</v>
      </c>
      <c r="C41" s="13"/>
      <c r="D41" s="21"/>
      <c r="E41" s="14"/>
      <c r="F41" s="69" t="s">
        <v>72</v>
      </c>
      <c r="G41" s="70" t="str">
        <f t="shared" si="4"/>
        <v/>
      </c>
      <c r="H41" s="71" t="str">
        <f t="shared" si="5"/>
        <v/>
      </c>
      <c r="I41" s="71" t="str">
        <f t="shared" si="6"/>
        <v/>
      </c>
      <c r="J41" s="71" t="str">
        <f t="shared" si="7"/>
        <v/>
      </c>
      <c r="K41" s="72" t="str">
        <f t="shared" si="8"/>
        <v/>
      </c>
      <c r="M41" s="27"/>
      <c r="N41" s="73">
        <v>1</v>
      </c>
      <c r="O41" s="56">
        <v>750</v>
      </c>
      <c r="P41" s="56">
        <v>600</v>
      </c>
      <c r="Q41" s="56">
        <v>400</v>
      </c>
      <c r="R41" s="56">
        <v>150</v>
      </c>
      <c r="S41" s="56">
        <v>20</v>
      </c>
    </row>
    <row r="42" spans="1:19" s="24" customFormat="1" x14ac:dyDescent="0.3">
      <c r="B42" s="68" t="s">
        <v>99</v>
      </c>
      <c r="C42" s="13"/>
      <c r="D42" s="21"/>
      <c r="E42" s="14"/>
      <c r="F42" s="69" t="s">
        <v>72</v>
      </c>
      <c r="G42" s="70" t="str">
        <f t="shared" si="4"/>
        <v/>
      </c>
      <c r="H42" s="71" t="str">
        <f t="shared" si="5"/>
        <v/>
      </c>
      <c r="I42" s="71" t="str">
        <f t="shared" si="6"/>
        <v/>
      </c>
      <c r="J42" s="71" t="str">
        <f t="shared" si="7"/>
        <v/>
      </c>
      <c r="K42" s="72" t="str">
        <f t="shared" si="8"/>
        <v/>
      </c>
      <c r="M42" s="27"/>
      <c r="N42" s="73">
        <v>1</v>
      </c>
      <c r="O42" s="56">
        <v>2500</v>
      </c>
      <c r="P42" s="56">
        <v>2000</v>
      </c>
      <c r="Q42" s="56">
        <v>1333</v>
      </c>
      <c r="R42" s="56">
        <v>500</v>
      </c>
      <c r="S42" s="56">
        <v>67</v>
      </c>
    </row>
    <row r="43" spans="1:19" s="24" customFormat="1" x14ac:dyDescent="0.3">
      <c r="B43" s="68" t="s">
        <v>100</v>
      </c>
      <c r="C43" s="13"/>
      <c r="D43" s="21"/>
      <c r="E43" s="14"/>
      <c r="F43" s="69" t="s">
        <v>72</v>
      </c>
      <c r="G43" s="70" t="str">
        <f t="shared" si="4"/>
        <v/>
      </c>
      <c r="H43" s="71" t="str">
        <f t="shared" si="5"/>
        <v/>
      </c>
      <c r="I43" s="71" t="str">
        <f t="shared" si="6"/>
        <v/>
      </c>
      <c r="J43" s="71" t="str">
        <f t="shared" si="7"/>
        <v/>
      </c>
      <c r="K43" s="72" t="str">
        <f t="shared" si="8"/>
        <v/>
      </c>
      <c r="M43" s="27"/>
      <c r="N43" s="73">
        <v>1</v>
      </c>
      <c r="O43" s="56">
        <v>7500</v>
      </c>
      <c r="P43" s="56">
        <v>6000</v>
      </c>
      <c r="Q43" s="56">
        <v>4000</v>
      </c>
      <c r="R43" s="56">
        <v>1500</v>
      </c>
      <c r="S43" s="56">
        <v>200</v>
      </c>
    </row>
    <row r="44" spans="1:19" s="24" customFormat="1" x14ac:dyDescent="0.3">
      <c r="B44" s="68" t="s">
        <v>101</v>
      </c>
      <c r="C44" s="13"/>
      <c r="D44" s="21"/>
      <c r="E44" s="14"/>
      <c r="F44" s="69" t="s">
        <v>72</v>
      </c>
      <c r="G44" s="70" t="str">
        <f t="shared" si="4"/>
        <v/>
      </c>
      <c r="H44" s="71" t="str">
        <f t="shared" si="5"/>
        <v/>
      </c>
      <c r="I44" s="71" t="str">
        <f t="shared" si="6"/>
        <v/>
      </c>
      <c r="J44" s="71" t="str">
        <f>IF(OR($D44="",$G$10=""),"",IF(AND(J$17&gt;0,J$23&gt;0),"",IF(AND($G$17&gt;0,$H$17&gt;0,$I$17&gt;0,$J$17&gt;0,$K$17&gt;0,$G$23="",$H$23="",$I$23="",$J$23="",$K$23="",J$28=MIN($G$28:$K$28)),$N44*$D44/J$25*$L$25/R44,IF(AND($G$23&gt;0,$H$23&gt;0,$I$23&gt;0,$J$23&gt;0,$K$23&gt;0,$G$17="",$H$17="",$I$17="",$J$17="",$K$17="",J$28=MIN($G$28:$K$28)),$N44*$D44/J$26*$L$26/R44,""))))</f>
        <v/>
      </c>
      <c r="K44" s="72" t="str">
        <f t="shared" si="8"/>
        <v/>
      </c>
      <c r="L44" s="43"/>
      <c r="M44" s="27"/>
      <c r="N44" s="73">
        <v>1</v>
      </c>
      <c r="O44" s="56">
        <v>375</v>
      </c>
      <c r="P44" s="56">
        <v>300</v>
      </c>
      <c r="Q44" s="56">
        <v>200</v>
      </c>
      <c r="R44" s="56">
        <v>75</v>
      </c>
      <c r="S44" s="56">
        <v>10</v>
      </c>
    </row>
    <row r="45" spans="1:19" s="24" customFormat="1" x14ac:dyDescent="0.3">
      <c r="A45" s="24" t="s">
        <v>115</v>
      </c>
      <c r="B45" s="74" t="s">
        <v>123</v>
      </c>
      <c r="C45" s="13"/>
      <c r="D45" s="21"/>
      <c r="E45" s="14"/>
      <c r="F45" s="75" t="s">
        <v>73</v>
      </c>
      <c r="G45" s="76"/>
      <c r="H45" s="77"/>
      <c r="I45" s="78"/>
      <c r="J45" s="77"/>
      <c r="K45" s="79"/>
      <c r="M45" s="27"/>
      <c r="N45" s="80">
        <v>9.9999999999999995E-7</v>
      </c>
      <c r="O45" s="56"/>
      <c r="P45" s="56"/>
      <c r="Q45" s="56"/>
      <c r="R45" s="56"/>
      <c r="S45" s="56"/>
    </row>
    <row r="46" spans="1:19" s="24" customFormat="1" x14ac:dyDescent="0.3">
      <c r="B46" s="74" t="s">
        <v>44</v>
      </c>
      <c r="C46" s="13"/>
      <c r="D46" s="21"/>
      <c r="E46" s="14"/>
      <c r="F46" s="75" t="s">
        <v>73</v>
      </c>
      <c r="G46" s="76"/>
      <c r="H46" s="77"/>
      <c r="I46" s="78"/>
      <c r="J46" s="77"/>
      <c r="K46" s="79"/>
      <c r="M46" s="27"/>
      <c r="N46" s="80">
        <v>9.9999999999999995E-7</v>
      </c>
      <c r="O46" s="56"/>
      <c r="P46" s="56"/>
      <c r="Q46" s="56"/>
      <c r="R46" s="56"/>
      <c r="S46" s="56"/>
    </row>
    <row r="47" spans="1:19" s="24" customFormat="1" x14ac:dyDescent="0.3">
      <c r="B47" s="74" t="s">
        <v>45</v>
      </c>
      <c r="C47" s="13"/>
      <c r="D47" s="21"/>
      <c r="E47" s="14"/>
      <c r="F47" s="75" t="s">
        <v>73</v>
      </c>
      <c r="G47" s="76"/>
      <c r="H47" s="77"/>
      <c r="I47" s="78"/>
      <c r="J47" s="77"/>
      <c r="K47" s="79"/>
      <c r="M47" s="27"/>
      <c r="N47" s="80">
        <v>9.9999999999999995E-7</v>
      </c>
      <c r="O47" s="56"/>
      <c r="P47" s="56"/>
      <c r="Q47" s="56"/>
      <c r="R47" s="56"/>
      <c r="S47" s="56"/>
    </row>
    <row r="48" spans="1:19" s="24" customFormat="1" x14ac:dyDescent="0.3">
      <c r="B48" s="74" t="s">
        <v>46</v>
      </c>
      <c r="C48" s="13"/>
      <c r="D48" s="21"/>
      <c r="E48" s="14"/>
      <c r="F48" s="75" t="s">
        <v>73</v>
      </c>
      <c r="G48" s="76"/>
      <c r="H48" s="77"/>
      <c r="I48" s="78"/>
      <c r="J48" s="77"/>
      <c r="K48" s="79"/>
      <c r="M48" s="27"/>
      <c r="N48" s="80">
        <v>9.9999999999999995E-7</v>
      </c>
      <c r="O48" s="56"/>
      <c r="P48" s="56"/>
      <c r="Q48" s="56"/>
      <c r="R48" s="56"/>
      <c r="S48" s="56"/>
    </row>
    <row r="49" spans="1:19" s="24" customFormat="1" x14ac:dyDescent="0.3">
      <c r="B49" s="74" t="s">
        <v>47</v>
      </c>
      <c r="C49" s="13"/>
      <c r="D49" s="21"/>
      <c r="E49" s="14"/>
      <c r="F49" s="75" t="s">
        <v>73</v>
      </c>
      <c r="G49" s="76"/>
      <c r="H49" s="77"/>
      <c r="I49" s="78"/>
      <c r="J49" s="77"/>
      <c r="K49" s="79"/>
      <c r="M49" s="27"/>
      <c r="N49" s="80">
        <v>9.9999999999999995E-7</v>
      </c>
      <c r="O49" s="56"/>
      <c r="P49" s="56"/>
      <c r="Q49" s="56"/>
      <c r="R49" s="56"/>
      <c r="S49" s="56"/>
    </row>
    <row r="50" spans="1:19" s="24" customFormat="1" x14ac:dyDescent="0.3">
      <c r="B50" s="74" t="s">
        <v>48</v>
      </c>
      <c r="C50" s="13"/>
      <c r="D50" s="21"/>
      <c r="E50" s="14"/>
      <c r="F50" s="75" t="s">
        <v>73</v>
      </c>
      <c r="G50" s="76"/>
      <c r="H50" s="77"/>
      <c r="I50" s="78"/>
      <c r="J50" s="77"/>
      <c r="K50" s="79"/>
      <c r="M50" s="27"/>
      <c r="N50" s="80">
        <v>9.9999999999999995E-7</v>
      </c>
      <c r="O50" s="56"/>
      <c r="P50" s="56"/>
      <c r="Q50" s="56"/>
      <c r="R50" s="56"/>
      <c r="S50" s="56"/>
    </row>
    <row r="51" spans="1:19" s="24" customFormat="1" x14ac:dyDescent="0.3">
      <c r="B51" s="74" t="s">
        <v>49</v>
      </c>
      <c r="C51" s="13"/>
      <c r="D51" s="21"/>
      <c r="E51" s="14"/>
      <c r="F51" s="75" t="s">
        <v>73</v>
      </c>
      <c r="G51" s="76"/>
      <c r="H51" s="77"/>
      <c r="I51" s="78"/>
      <c r="J51" s="77"/>
      <c r="K51" s="79"/>
      <c r="M51" s="27"/>
      <c r="N51" s="80">
        <v>9.9999999999999995E-7</v>
      </c>
      <c r="O51" s="56"/>
      <c r="P51" s="56"/>
      <c r="Q51" s="56"/>
      <c r="R51" s="56"/>
      <c r="S51" s="56"/>
    </row>
    <row r="52" spans="1:19" s="24" customFormat="1" x14ac:dyDescent="0.3">
      <c r="B52" s="74" t="s">
        <v>50</v>
      </c>
      <c r="C52" s="13"/>
      <c r="D52" s="21"/>
      <c r="E52" s="14"/>
      <c r="F52" s="75" t="s">
        <v>73</v>
      </c>
      <c r="G52" s="76"/>
      <c r="H52" s="77"/>
      <c r="I52" s="78"/>
      <c r="J52" s="77"/>
      <c r="K52" s="79"/>
      <c r="M52" s="27"/>
      <c r="N52" s="80">
        <v>9.9999999999999995E-7</v>
      </c>
      <c r="O52" s="56"/>
      <c r="P52" s="56"/>
      <c r="Q52" s="56"/>
      <c r="R52" s="56"/>
      <c r="S52" s="56"/>
    </row>
    <row r="53" spans="1:19" s="24" customFormat="1" x14ac:dyDescent="0.3">
      <c r="B53" s="74" t="s">
        <v>51</v>
      </c>
      <c r="C53" s="13"/>
      <c r="D53" s="21"/>
      <c r="E53" s="14"/>
      <c r="F53" s="75" t="s">
        <v>73</v>
      </c>
      <c r="G53" s="76"/>
      <c r="H53" s="77"/>
      <c r="I53" s="78"/>
      <c r="J53" s="77"/>
      <c r="K53" s="79"/>
      <c r="M53" s="27"/>
      <c r="N53" s="80">
        <v>9.9999999999999995E-7</v>
      </c>
      <c r="O53" s="56"/>
      <c r="P53" s="56"/>
      <c r="Q53" s="56"/>
      <c r="R53" s="56"/>
      <c r="S53" s="56"/>
    </row>
    <row r="54" spans="1:19" s="24" customFormat="1" x14ac:dyDescent="0.3">
      <c r="B54" s="74" t="s">
        <v>52</v>
      </c>
      <c r="C54" s="13"/>
      <c r="D54" s="21"/>
      <c r="E54" s="14"/>
      <c r="F54" s="75" t="s">
        <v>73</v>
      </c>
      <c r="G54" s="76"/>
      <c r="H54" s="77"/>
      <c r="I54" s="78"/>
      <c r="J54" s="77"/>
      <c r="K54" s="79"/>
      <c r="M54" s="27"/>
      <c r="N54" s="80">
        <v>9.9999999999999995E-7</v>
      </c>
      <c r="O54" s="56"/>
      <c r="P54" s="56"/>
      <c r="Q54" s="56"/>
      <c r="R54" s="56"/>
      <c r="S54" s="56"/>
    </row>
    <row r="55" spans="1:19" s="24" customFormat="1" x14ac:dyDescent="0.3">
      <c r="B55" s="74" t="s">
        <v>53</v>
      </c>
      <c r="C55" s="13"/>
      <c r="D55" s="21"/>
      <c r="E55" s="14"/>
      <c r="F55" s="75" t="s">
        <v>73</v>
      </c>
      <c r="G55" s="76"/>
      <c r="H55" s="77"/>
      <c r="I55" s="78"/>
      <c r="J55" s="77"/>
      <c r="K55" s="79"/>
      <c r="M55" s="27"/>
      <c r="N55" s="80">
        <v>9.9999999999999995E-7</v>
      </c>
      <c r="O55" s="56"/>
      <c r="P55" s="56"/>
      <c r="Q55" s="56"/>
      <c r="R55" s="56"/>
      <c r="S55" s="56"/>
    </row>
    <row r="56" spans="1:19" s="24" customFormat="1" x14ac:dyDescent="0.3">
      <c r="B56" s="74" t="s">
        <v>54</v>
      </c>
      <c r="C56" s="13"/>
      <c r="D56" s="21"/>
      <c r="E56" s="14"/>
      <c r="F56" s="75" t="s">
        <v>73</v>
      </c>
      <c r="G56" s="76"/>
      <c r="H56" s="77"/>
      <c r="I56" s="78"/>
      <c r="J56" s="77"/>
      <c r="K56" s="79"/>
      <c r="M56" s="27"/>
      <c r="N56" s="80">
        <v>9.9999999999999995E-7</v>
      </c>
      <c r="O56" s="56"/>
      <c r="P56" s="56"/>
      <c r="Q56" s="56"/>
      <c r="R56" s="56"/>
      <c r="S56" s="56"/>
    </row>
    <row r="57" spans="1:19" s="24" customFormat="1" x14ac:dyDescent="0.3">
      <c r="B57" s="74" t="s">
        <v>55</v>
      </c>
      <c r="C57" s="13"/>
      <c r="D57" s="21"/>
      <c r="E57" s="14"/>
      <c r="F57" s="75" t="s">
        <v>73</v>
      </c>
      <c r="G57" s="76"/>
      <c r="H57" s="77"/>
      <c r="I57" s="78"/>
      <c r="J57" s="77"/>
      <c r="K57" s="79"/>
      <c r="M57" s="27"/>
      <c r="N57" s="80">
        <v>9.9999999999999995E-7</v>
      </c>
      <c r="O57" s="56" t="s">
        <v>68</v>
      </c>
      <c r="P57" s="56"/>
      <c r="Q57" s="56"/>
      <c r="R57" s="56"/>
      <c r="S57" s="56"/>
    </row>
    <row r="58" spans="1:19" s="24" customFormat="1" x14ac:dyDescent="0.3">
      <c r="B58" s="74" t="s">
        <v>56</v>
      </c>
      <c r="C58" s="13"/>
      <c r="D58" s="21"/>
      <c r="E58" s="14"/>
      <c r="F58" s="75" t="s">
        <v>73</v>
      </c>
      <c r="G58" s="76"/>
      <c r="H58" s="77"/>
      <c r="I58" s="78"/>
      <c r="J58" s="77"/>
      <c r="K58" s="79"/>
      <c r="M58" s="27"/>
      <c r="N58" s="80">
        <v>9.9999999999999995E-7</v>
      </c>
      <c r="O58" s="56"/>
      <c r="P58" s="56"/>
      <c r="Q58" s="56"/>
      <c r="R58" s="56"/>
      <c r="S58" s="56"/>
    </row>
    <row r="59" spans="1:19" s="24" customFormat="1" x14ac:dyDescent="0.3">
      <c r="B59" s="74" t="s">
        <v>57</v>
      </c>
      <c r="C59" s="13"/>
      <c r="D59" s="21"/>
      <c r="E59" s="14"/>
      <c r="F59" s="75" t="s">
        <v>73</v>
      </c>
      <c r="G59" s="76"/>
      <c r="H59" s="77"/>
      <c r="I59" s="78"/>
      <c r="J59" s="77"/>
      <c r="K59" s="79"/>
      <c r="M59" s="27"/>
      <c r="N59" s="80">
        <v>9.9999999999999995E-7</v>
      </c>
      <c r="O59" s="56"/>
      <c r="P59" s="56"/>
      <c r="Q59" s="56"/>
      <c r="R59" s="56"/>
      <c r="S59" s="56"/>
    </row>
    <row r="60" spans="1:19" s="24" customFormat="1" x14ac:dyDescent="0.3">
      <c r="B60" s="74" t="s">
        <v>58</v>
      </c>
      <c r="C60" s="13"/>
      <c r="D60" s="21"/>
      <c r="E60" s="14"/>
      <c r="F60" s="75" t="s">
        <v>73</v>
      </c>
      <c r="G60" s="76"/>
      <c r="H60" s="77"/>
      <c r="I60" s="78"/>
      <c r="J60" s="77"/>
      <c r="K60" s="79"/>
      <c r="M60" s="27"/>
      <c r="N60" s="80">
        <v>9.9999999999999995E-7</v>
      </c>
      <c r="O60" s="56"/>
      <c r="P60" s="56"/>
      <c r="Q60" s="56"/>
      <c r="R60" s="56"/>
      <c r="S60" s="56"/>
    </row>
    <row r="61" spans="1:19" s="24" customFormat="1" x14ac:dyDescent="0.3">
      <c r="B61" s="74" t="s">
        <v>59</v>
      </c>
      <c r="C61" s="13"/>
      <c r="D61" s="21"/>
      <c r="E61" s="14"/>
      <c r="F61" s="75" t="s">
        <v>73</v>
      </c>
      <c r="G61" s="76"/>
      <c r="H61" s="77"/>
      <c r="I61" s="78"/>
      <c r="J61" s="77"/>
      <c r="K61" s="79"/>
      <c r="M61" s="27"/>
      <c r="N61" s="80">
        <v>9.9999999999999995E-7</v>
      </c>
      <c r="O61" s="56"/>
      <c r="P61" s="56"/>
      <c r="Q61" s="56"/>
      <c r="R61" s="56"/>
      <c r="S61" s="56"/>
    </row>
    <row r="62" spans="1:19" s="24" customFormat="1" x14ac:dyDescent="0.3">
      <c r="B62" s="81" t="s">
        <v>12</v>
      </c>
      <c r="C62" s="13"/>
      <c r="D62" s="22"/>
      <c r="E62" s="14"/>
      <c r="F62" s="75" t="s">
        <v>73</v>
      </c>
      <c r="G62" s="70" t="str">
        <f t="shared" ref="G62:G72" si="9">IF(OR($D62="",$G$10=""),"",IF(AND(G$17&gt;0,G$23&gt;0),"",IF(AND($G$17&gt;0,$H$17&gt;0,$I$17&gt;0,$J$17&gt;0,$K$17&gt;0,$G$23="",$H$23="",$I$23="",$J$23="",$K$23="",G$28=MIN($G$28:$K$28)),$N62*$D62/G$25*$L$25/O62,IF(AND($G$23&gt;0,$H$23&gt;0,$I$23&gt;0,$J$23&gt;0,$K$23&gt;0,$G$17="",$H$17="",$I$17="",$J$17="",$K$17="",G$28=MIN($G$28:$K$28)),$N62*$D62/G$26*$L$26/O62,""))))</f>
        <v/>
      </c>
      <c r="H62" s="71" t="str">
        <f t="shared" ref="H62:H72" si="10">IF(OR($D62="",$G$10=""),"",IF(AND(H$17&gt;0,H$23&gt;0),"",IF(AND($G$17&gt;0,$H$17&gt;0,$I$17&gt;0,$J$17&gt;0,$K$17&gt;0,$G$23="",$H$23="",$I$23="",$J$23="",$K$23="",H$28=MIN($G$28:$K$28)),$N62*$D62/H$25*$L$25/P62,IF(AND($G$23&gt;0,$H$23&gt;0,$I$23&gt;0,$J$23&gt;0,$K$23&gt;0,$G$17="",$H$17="",$I$17="",$J$17="",$K$17="",H$28=MIN($G$28:$K$28)),$N62*$D62/H$26*$L$26/P62,""))))</f>
        <v/>
      </c>
      <c r="I62" s="71" t="str">
        <f t="shared" ref="I62:I72" si="11">IF(OR($D62="",$G$10=""),"",IF(AND(I$17&gt;0,I$23&gt;0),"",IF(AND($G$17&gt;0,$H$17&gt;0,$I$17&gt;0,$J$17&gt;0,$K$17&gt;0,$G$23="",$H$23="",$I$23="",$J$23="",$K$23="",I$28=MIN($G$28:$K$28)),$N62*$D62/I$25*$L$25/Q62,IF(AND($G$23&gt;0,$H$23&gt;0,$I$23&gt;0,$J$23&gt;0,$K$23&gt;0,$G$17="",$H$17="",$I$17="",$J$17="",$K$17="",I$28=MIN($G$28:$K$28)),$N62*$D62/I$26*$L$26/Q62,""))))</f>
        <v/>
      </c>
      <c r="J62" s="71" t="str">
        <f t="shared" ref="J62:J72" si="12">IF(OR($D62="",$G$10=""),"",IF(AND(J$17&gt;0,J$23&gt;0),"",IF(AND($G$17&gt;0,$H$17&gt;0,$I$17&gt;0,$J$17&gt;0,$K$17&gt;0,$G$23="",$H$23="",$I$23="",$J$23="",$K$23="",J$28=MIN($G$28:$K$28)),$N62*$D62/J$25*$L$25/R62,IF(AND($G$23&gt;0,$H$23&gt;0,$I$23&gt;0,$J$23&gt;0,$K$23&gt;0,$G$17="",$H$17="",$I$17="",$J$17="",$K$17="",J$28=MIN($G$28:$K$28)),$N62*$D62/J$26*$L$26/R62,""))))</f>
        <v/>
      </c>
      <c r="K62" s="72" t="str">
        <f t="shared" ref="K62:K72" si="13">IF(OR($D62="",$G$10=""),"",IF(AND(K$17&gt;0,K$23&gt;0),"",IF(AND($G$17&gt;0,$H$17&gt;0,$I$17&gt;0,$J$17&gt;0,$K$17&gt;0,$G$23="",$H$23="",$I$23="",$J$23="",$K$23="",K$28=MIN($G$28:$K$28)),$N62*$D62/K$25*$L$25/S62,IF(AND($G$23&gt;0,$H$23&gt;0,$I$23&gt;0,$J$23&gt;0,$K$23&gt;0,$G$17="",$H$17="",$I$17="",$J$17="",$K$17="",K$28=MIN($G$28:$K$28)),$N62*$D62/K$26*$L$26/S62,""))))</f>
        <v/>
      </c>
      <c r="M62" s="27"/>
      <c r="N62" s="80">
        <v>9.9999999999999995E-7</v>
      </c>
      <c r="O62" s="82">
        <v>1.9E-2</v>
      </c>
      <c r="P62" s="82">
        <v>1.4999999999999999E-2</v>
      </c>
      <c r="Q62" s="83">
        <v>0.01</v>
      </c>
      <c r="R62" s="82">
        <v>3.8E-3</v>
      </c>
      <c r="S62" s="96">
        <v>5.1000000000000004E-4</v>
      </c>
    </row>
    <row r="63" spans="1:19" s="24" customFormat="1" ht="30" customHeight="1" x14ac:dyDescent="0.3">
      <c r="A63" s="93" t="s">
        <v>116</v>
      </c>
      <c r="B63" s="81" t="s">
        <v>13</v>
      </c>
      <c r="C63" s="13"/>
      <c r="D63" s="21"/>
      <c r="E63" s="14"/>
      <c r="F63" s="75" t="s">
        <v>74</v>
      </c>
      <c r="G63" s="70" t="str">
        <f t="shared" si="9"/>
        <v/>
      </c>
      <c r="H63" s="71" t="str">
        <f t="shared" si="10"/>
        <v/>
      </c>
      <c r="I63" s="71" t="str">
        <f t="shared" si="11"/>
        <v/>
      </c>
      <c r="J63" s="71" t="str">
        <f t="shared" si="12"/>
        <v/>
      </c>
      <c r="K63" s="72" t="str">
        <f t="shared" si="13"/>
        <v/>
      </c>
      <c r="M63" s="27"/>
      <c r="N63" s="80">
        <v>1E-3</v>
      </c>
      <c r="O63" s="82">
        <v>310</v>
      </c>
      <c r="P63" s="82">
        <v>248</v>
      </c>
      <c r="Q63" s="56">
        <v>165</v>
      </c>
      <c r="R63" s="56">
        <v>62</v>
      </c>
      <c r="S63" s="82">
        <v>8.3000000000000007</v>
      </c>
    </row>
    <row r="64" spans="1:19" s="24" customFormat="1" x14ac:dyDescent="0.3">
      <c r="B64" s="81" t="s">
        <v>14</v>
      </c>
      <c r="C64" s="13"/>
      <c r="D64" s="21"/>
      <c r="E64" s="14"/>
      <c r="F64" s="75" t="s">
        <v>74</v>
      </c>
      <c r="G64" s="70" t="str">
        <f t="shared" si="9"/>
        <v/>
      </c>
      <c r="H64" s="71" t="str">
        <f t="shared" si="10"/>
        <v/>
      </c>
      <c r="I64" s="71" t="str">
        <f t="shared" si="11"/>
        <v/>
      </c>
      <c r="J64" s="71" t="str">
        <f t="shared" si="12"/>
        <v/>
      </c>
      <c r="K64" s="72" t="str">
        <f t="shared" si="13"/>
        <v/>
      </c>
      <c r="M64" s="27"/>
      <c r="N64" s="80">
        <v>1E-3</v>
      </c>
      <c r="O64" s="82">
        <v>12</v>
      </c>
      <c r="P64" s="82">
        <v>9.6</v>
      </c>
      <c r="Q64" s="56">
        <v>6.4</v>
      </c>
      <c r="R64" s="56">
        <v>2.4</v>
      </c>
      <c r="S64" s="82">
        <v>0.32</v>
      </c>
    </row>
    <row r="65" spans="1:19" s="24" customFormat="1" x14ac:dyDescent="0.3">
      <c r="B65" s="81" t="s">
        <v>15</v>
      </c>
      <c r="C65" s="13"/>
      <c r="D65" s="21"/>
      <c r="E65" s="14"/>
      <c r="F65" s="75" t="s">
        <v>74</v>
      </c>
      <c r="G65" s="70" t="str">
        <f t="shared" si="9"/>
        <v/>
      </c>
      <c r="H65" s="71" t="str">
        <f t="shared" si="10"/>
        <v/>
      </c>
      <c r="I65" s="71" t="str">
        <f t="shared" si="11"/>
        <v/>
      </c>
      <c r="J65" s="71" t="str">
        <f t="shared" si="12"/>
        <v/>
      </c>
      <c r="K65" s="72" t="str">
        <f t="shared" si="13"/>
        <v/>
      </c>
      <c r="M65" s="27"/>
      <c r="N65" s="80">
        <v>1E-3</v>
      </c>
      <c r="O65" s="82">
        <v>1.2</v>
      </c>
      <c r="P65" s="82">
        <v>0.96</v>
      </c>
      <c r="Q65" s="56">
        <v>0.64</v>
      </c>
      <c r="R65" s="56">
        <v>0.24</v>
      </c>
      <c r="S65" s="82">
        <v>3.2000000000000001E-2</v>
      </c>
    </row>
    <row r="66" spans="1:19" s="24" customFormat="1" x14ac:dyDescent="0.3">
      <c r="B66" s="81" t="s">
        <v>16</v>
      </c>
      <c r="C66" s="13"/>
      <c r="D66" s="21"/>
      <c r="E66" s="14"/>
      <c r="F66" s="75" t="s">
        <v>74</v>
      </c>
      <c r="G66" s="70" t="str">
        <f t="shared" si="9"/>
        <v/>
      </c>
      <c r="H66" s="71" t="str">
        <f t="shared" si="10"/>
        <v/>
      </c>
      <c r="I66" s="71" t="str">
        <f t="shared" si="11"/>
        <v/>
      </c>
      <c r="J66" s="71" t="str">
        <f t="shared" si="12"/>
        <v/>
      </c>
      <c r="K66" s="72" t="str">
        <f t="shared" si="13"/>
        <v/>
      </c>
      <c r="M66" s="27"/>
      <c r="N66" s="80">
        <v>1E-3</v>
      </c>
      <c r="O66" s="82">
        <v>31</v>
      </c>
      <c r="P66" s="82">
        <v>31.2</v>
      </c>
      <c r="Q66" s="56">
        <v>20.8</v>
      </c>
      <c r="R66" s="56">
        <v>7.8</v>
      </c>
      <c r="S66" s="82">
        <v>1</v>
      </c>
    </row>
    <row r="67" spans="1:19" s="24" customFormat="1" x14ac:dyDescent="0.3">
      <c r="B67" s="81" t="s">
        <v>17</v>
      </c>
      <c r="C67" s="13"/>
      <c r="D67" s="21"/>
      <c r="E67" s="14"/>
      <c r="F67" s="75" t="s">
        <v>74</v>
      </c>
      <c r="G67" s="70" t="str">
        <f t="shared" si="9"/>
        <v/>
      </c>
      <c r="H67" s="71" t="str">
        <f t="shared" si="10"/>
        <v/>
      </c>
      <c r="I67" s="71" t="str">
        <f t="shared" si="11"/>
        <v/>
      </c>
      <c r="J67" s="71" t="str">
        <f t="shared" si="12"/>
        <v/>
      </c>
      <c r="K67" s="72" t="str">
        <f t="shared" si="13"/>
        <v/>
      </c>
      <c r="M67" s="27"/>
      <c r="N67" s="80">
        <v>1E-3</v>
      </c>
      <c r="O67" s="82">
        <v>7</v>
      </c>
      <c r="P67" s="82">
        <v>5.6</v>
      </c>
      <c r="Q67" s="56">
        <v>3.7</v>
      </c>
      <c r="R67" s="56">
        <v>1.4</v>
      </c>
      <c r="S67" s="82">
        <v>0.2</v>
      </c>
    </row>
    <row r="68" spans="1:19" s="24" customFormat="1" x14ac:dyDescent="0.3">
      <c r="B68" s="81" t="s">
        <v>18</v>
      </c>
      <c r="C68" s="13"/>
      <c r="D68" s="21"/>
      <c r="E68" s="14"/>
      <c r="F68" s="75" t="s">
        <v>74</v>
      </c>
      <c r="G68" s="70" t="str">
        <f t="shared" si="9"/>
        <v/>
      </c>
      <c r="H68" s="71" t="str">
        <f t="shared" si="10"/>
        <v/>
      </c>
      <c r="I68" s="71" t="str">
        <f t="shared" si="11"/>
        <v/>
      </c>
      <c r="J68" s="71" t="str">
        <f t="shared" si="12"/>
        <v/>
      </c>
      <c r="K68" s="72" t="str">
        <f t="shared" si="13"/>
        <v/>
      </c>
      <c r="M68" s="27"/>
      <c r="N68" s="80">
        <v>1E-3</v>
      </c>
      <c r="O68" s="82">
        <v>7</v>
      </c>
      <c r="P68" s="82">
        <v>5.6</v>
      </c>
      <c r="Q68" s="56">
        <v>3.7</v>
      </c>
      <c r="R68" s="56">
        <v>1.4</v>
      </c>
      <c r="S68" s="82">
        <v>0.2</v>
      </c>
    </row>
    <row r="69" spans="1:19" s="24" customFormat="1" x14ac:dyDescent="0.3">
      <c r="B69" s="81" t="s">
        <v>19</v>
      </c>
      <c r="C69" s="13"/>
      <c r="D69" s="22"/>
      <c r="E69" s="14"/>
      <c r="F69" s="75" t="s">
        <v>74</v>
      </c>
      <c r="G69" s="70" t="str">
        <f t="shared" si="9"/>
        <v/>
      </c>
      <c r="H69" s="71" t="str">
        <f t="shared" si="10"/>
        <v/>
      </c>
      <c r="I69" s="71" t="str">
        <f t="shared" si="11"/>
        <v/>
      </c>
      <c r="J69" s="71" t="str">
        <f t="shared" si="12"/>
        <v/>
      </c>
      <c r="K69" s="72" t="str">
        <f t="shared" si="13"/>
        <v/>
      </c>
      <c r="M69" s="27"/>
      <c r="N69" s="80">
        <v>1E-3</v>
      </c>
      <c r="O69" s="82">
        <v>7</v>
      </c>
      <c r="P69" s="82">
        <v>5.6</v>
      </c>
      <c r="Q69" s="56">
        <v>3.7</v>
      </c>
      <c r="R69" s="56">
        <v>1.4</v>
      </c>
      <c r="S69" s="82">
        <v>0.2</v>
      </c>
    </row>
    <row r="70" spans="1:19" s="24" customFormat="1" x14ac:dyDescent="0.3">
      <c r="B70" s="81" t="s">
        <v>20</v>
      </c>
      <c r="C70" s="13"/>
      <c r="D70" s="21"/>
      <c r="E70" s="14"/>
      <c r="F70" s="75" t="s">
        <v>74</v>
      </c>
      <c r="G70" s="70" t="str">
        <f t="shared" si="9"/>
        <v/>
      </c>
      <c r="H70" s="71" t="str">
        <f t="shared" si="10"/>
        <v/>
      </c>
      <c r="I70" s="71" t="str">
        <f t="shared" si="11"/>
        <v/>
      </c>
      <c r="J70" s="71" t="str">
        <f t="shared" si="12"/>
        <v/>
      </c>
      <c r="K70" s="72" t="str">
        <f t="shared" si="13"/>
        <v/>
      </c>
      <c r="M70" s="27"/>
      <c r="N70" s="80">
        <v>1E-3</v>
      </c>
      <c r="O70" s="82">
        <v>7</v>
      </c>
      <c r="P70" s="82">
        <v>5.6</v>
      </c>
      <c r="Q70" s="56">
        <v>3.7</v>
      </c>
      <c r="R70" s="56">
        <v>1.4</v>
      </c>
      <c r="S70" s="82">
        <v>0.2</v>
      </c>
    </row>
    <row r="71" spans="1:19" s="24" customFormat="1" x14ac:dyDescent="0.3">
      <c r="B71" s="81" t="s">
        <v>21</v>
      </c>
      <c r="C71" s="13"/>
      <c r="D71" s="21"/>
      <c r="E71" s="14"/>
      <c r="F71" s="75" t="s">
        <v>74</v>
      </c>
      <c r="G71" s="70" t="str">
        <f t="shared" si="9"/>
        <v/>
      </c>
      <c r="H71" s="71" t="str">
        <f t="shared" si="10"/>
        <v/>
      </c>
      <c r="I71" s="71" t="str">
        <f t="shared" si="11"/>
        <v/>
      </c>
      <c r="J71" s="71" t="str">
        <f t="shared" si="12"/>
        <v/>
      </c>
      <c r="K71" s="72" t="str">
        <f t="shared" si="13"/>
        <v/>
      </c>
      <c r="M71" s="27"/>
      <c r="N71" s="80">
        <v>1E-3</v>
      </c>
      <c r="O71" s="82">
        <v>7</v>
      </c>
      <c r="P71" s="82">
        <v>5.6</v>
      </c>
      <c r="Q71" s="56">
        <v>3.7</v>
      </c>
      <c r="R71" s="56">
        <v>1.4</v>
      </c>
      <c r="S71" s="82">
        <v>0.2</v>
      </c>
    </row>
    <row r="72" spans="1:19" s="24" customFormat="1" x14ac:dyDescent="0.3">
      <c r="B72" s="81" t="s">
        <v>22</v>
      </c>
      <c r="C72" s="13"/>
      <c r="D72" s="22"/>
      <c r="E72" s="14"/>
      <c r="F72" s="75" t="s">
        <v>74</v>
      </c>
      <c r="G72" s="70" t="str">
        <f t="shared" si="9"/>
        <v/>
      </c>
      <c r="H72" s="71" t="str">
        <f t="shared" si="10"/>
        <v/>
      </c>
      <c r="I72" s="71" t="str">
        <f t="shared" si="11"/>
        <v/>
      </c>
      <c r="J72" s="71" t="str">
        <f t="shared" si="12"/>
        <v/>
      </c>
      <c r="K72" s="72" t="str">
        <f t="shared" si="13"/>
        <v/>
      </c>
      <c r="M72" s="27"/>
      <c r="N72" s="80">
        <v>1E-3</v>
      </c>
      <c r="O72" s="82">
        <v>7</v>
      </c>
      <c r="P72" s="82">
        <v>5.6</v>
      </c>
      <c r="Q72" s="56">
        <v>3.7</v>
      </c>
      <c r="R72" s="56">
        <v>1.4</v>
      </c>
      <c r="S72" s="82">
        <v>0.2</v>
      </c>
    </row>
    <row r="73" spans="1:19" s="24" customFormat="1" x14ac:dyDescent="0.3">
      <c r="B73" s="84" t="s">
        <v>60</v>
      </c>
      <c r="C73" s="13"/>
      <c r="D73" s="21"/>
      <c r="E73" s="14"/>
      <c r="F73" s="75" t="s">
        <v>74</v>
      </c>
      <c r="G73" s="76"/>
      <c r="H73" s="77"/>
      <c r="I73" s="78"/>
      <c r="J73" s="77"/>
      <c r="K73" s="79"/>
      <c r="M73" s="27"/>
      <c r="N73" s="80">
        <v>1E-3</v>
      </c>
      <c r="O73" s="82"/>
      <c r="P73" s="82"/>
      <c r="Q73" s="56"/>
      <c r="R73" s="56"/>
      <c r="S73" s="82"/>
    </row>
    <row r="74" spans="1:19" s="24" customFormat="1" x14ac:dyDescent="0.3">
      <c r="B74" s="84" t="s">
        <v>61</v>
      </c>
      <c r="C74" s="13"/>
      <c r="D74" s="21"/>
      <c r="E74" s="14"/>
      <c r="F74" s="75" t="s">
        <v>74</v>
      </c>
      <c r="G74" s="76"/>
      <c r="H74" s="77"/>
      <c r="I74" s="78"/>
      <c r="J74" s="77"/>
      <c r="K74" s="79"/>
      <c r="M74" s="27"/>
      <c r="N74" s="80">
        <v>1E-3</v>
      </c>
      <c r="O74" s="82"/>
      <c r="P74" s="82"/>
      <c r="Q74" s="56"/>
      <c r="R74" s="56"/>
      <c r="S74" s="82"/>
    </row>
    <row r="75" spans="1:19" s="24" customFormat="1" x14ac:dyDescent="0.3">
      <c r="B75" s="84" t="s">
        <v>62</v>
      </c>
      <c r="C75" s="13"/>
      <c r="D75" s="21"/>
      <c r="E75" s="14"/>
      <c r="F75" s="75" t="s">
        <v>74</v>
      </c>
      <c r="G75" s="76"/>
      <c r="H75" s="77"/>
      <c r="I75" s="78"/>
      <c r="J75" s="77"/>
      <c r="K75" s="79"/>
      <c r="M75" s="27"/>
      <c r="N75" s="80">
        <v>1E-3</v>
      </c>
      <c r="O75" s="82"/>
      <c r="P75" s="82"/>
      <c r="Q75" s="56"/>
      <c r="R75" s="56"/>
      <c r="S75" s="82"/>
    </row>
    <row r="76" spans="1:19" s="24" customFormat="1" x14ac:dyDescent="0.3">
      <c r="B76" s="84" t="s">
        <v>63</v>
      </c>
      <c r="C76" s="13"/>
      <c r="D76" s="21"/>
      <c r="E76" s="14"/>
      <c r="F76" s="75" t="s">
        <v>74</v>
      </c>
      <c r="G76" s="76"/>
      <c r="H76" s="77"/>
      <c r="I76" s="78"/>
      <c r="J76" s="77"/>
      <c r="K76" s="79"/>
      <c r="M76" s="27"/>
      <c r="N76" s="80">
        <v>1E-3</v>
      </c>
      <c r="O76" s="82"/>
      <c r="P76" s="82"/>
      <c r="Q76" s="56"/>
      <c r="R76" s="56"/>
      <c r="S76" s="82"/>
    </row>
    <row r="77" spans="1:19" s="24" customFormat="1" x14ac:dyDescent="0.3">
      <c r="B77" s="84" t="s">
        <v>64</v>
      </c>
      <c r="C77" s="13"/>
      <c r="D77" s="21"/>
      <c r="E77" s="14"/>
      <c r="F77" s="75" t="s">
        <v>74</v>
      </c>
      <c r="G77" s="76"/>
      <c r="H77" s="77"/>
      <c r="I77" s="78"/>
      <c r="J77" s="77"/>
      <c r="K77" s="79"/>
      <c r="M77" s="27"/>
      <c r="N77" s="80">
        <v>1E-3</v>
      </c>
      <c r="O77" s="82"/>
      <c r="P77" s="82"/>
      <c r="Q77" s="56"/>
      <c r="R77" s="56"/>
      <c r="S77" s="82"/>
    </row>
    <row r="78" spans="1:19" s="24" customFormat="1" x14ac:dyDescent="0.3">
      <c r="B78" s="84" t="s">
        <v>65</v>
      </c>
      <c r="C78" s="13"/>
      <c r="D78" s="21"/>
      <c r="E78" s="14"/>
      <c r="F78" s="75" t="s">
        <v>74</v>
      </c>
      <c r="G78" s="76"/>
      <c r="H78" s="77"/>
      <c r="I78" s="78"/>
      <c r="J78" s="77"/>
      <c r="K78" s="79"/>
      <c r="M78" s="27"/>
      <c r="N78" s="80">
        <v>1E-3</v>
      </c>
      <c r="O78" s="82"/>
      <c r="P78" s="82"/>
      <c r="Q78" s="56"/>
      <c r="R78" s="56"/>
      <c r="S78" s="82"/>
    </row>
    <row r="79" spans="1:19" s="24" customFormat="1" x14ac:dyDescent="0.3">
      <c r="B79" s="81" t="s">
        <v>23</v>
      </c>
      <c r="C79" s="13"/>
      <c r="D79" s="22"/>
      <c r="E79" s="14"/>
      <c r="F79" s="75" t="s">
        <v>74</v>
      </c>
      <c r="G79" s="70" t="str">
        <f t="shared" ref="G79:G99" si="14">IF(OR($D79="",$G$10=""),"",IF(AND(G$17&gt;0,G$23&gt;0),"",IF(AND($G$17&gt;0,$H$17&gt;0,$I$17&gt;0,$J$17&gt;0,$K$17&gt;0,$G$23="",$H$23="",$I$23="",$J$23="",$K$23="",G$28=MIN($G$28:$K$28)),$N79*$D79/G$25*$L$25/O79,IF(AND($G$23&gt;0,$H$23&gt;0,$I$23&gt;0,$J$23&gt;0,$K$23&gt;0,$G$17="",$H$17="",$I$17="",$J$17="",$K$17="",G$28=MIN($G$28:$K$28)),$N79*$D79/G$26*$L$26/O79,""))))</f>
        <v/>
      </c>
      <c r="H79" s="71" t="str">
        <f t="shared" ref="H79:H99" si="15">IF(OR($D79="",$G$10=""),"",IF(AND(H$17&gt;0,H$23&gt;0),"",IF(AND($G$17&gt;0,$H$17&gt;0,$I$17&gt;0,$J$17&gt;0,$K$17&gt;0,$G$23="",$H$23="",$I$23="",$J$23="",$K$23="",H$28=MIN($G$28:$K$28)),$N79*$D79/H$25*$L$25/P79,IF(AND($G$23&gt;0,$H$23&gt;0,$I$23&gt;0,$J$23&gt;0,$K$23&gt;0,$G$17="",$H$17="",$I$17="",$J$17="",$K$17="",H$28=MIN($G$28:$K$28)),$N79*$D79/H$26*$L$26/P79,""))))</f>
        <v/>
      </c>
      <c r="I79" s="71" t="str">
        <f t="shared" ref="I79:I99" si="16">IF(OR($D79="",$G$10=""),"",IF(AND(I$17&gt;0,I$23&gt;0),"",IF(AND($G$17&gt;0,$H$17&gt;0,$I$17&gt;0,$J$17&gt;0,$K$17&gt;0,$G$23="",$H$23="",$I$23="",$J$23="",$K$23="",I$28=MIN($G$28:$K$28)),$N79*$D79/I$25*$L$25/Q79,IF(AND($G$23&gt;0,$H$23&gt;0,$I$23&gt;0,$J$23&gt;0,$K$23&gt;0,$G$17="",$H$17="",$I$17="",$J$17="",$K$17="",I$28=MIN($G$28:$K$28)),$N79*$D79/I$26*$L$26/Q79,""))))</f>
        <v/>
      </c>
      <c r="J79" s="71" t="str">
        <f t="shared" ref="J79:J99" si="17">IF(OR($D79="",$G$10=""),"",IF(AND(J$17&gt;0,J$23&gt;0),"",IF(AND($G$17&gt;0,$H$17&gt;0,$I$17&gt;0,$J$17&gt;0,$K$17&gt;0,$G$23="",$H$23="",$I$23="",$J$23="",$K$23="",J$28=MIN($G$28:$K$28)),$N79*$D79/J$25*$L$25/R79,IF(AND($G$23&gt;0,$H$23&gt;0,$I$23&gt;0,$J$23&gt;0,$K$23&gt;0,$G$17="",$H$17="",$I$17="",$J$17="",$K$17="",J$28=MIN($G$28:$K$28)),$N79*$D79/J$26*$L$26/R79,""))))</f>
        <v/>
      </c>
      <c r="K79" s="72" t="str">
        <f t="shared" ref="K79:K99" si="18">IF(OR($D79="",$G$10=""),"",IF(AND(K$17&gt;0,K$23&gt;0),"",IF(AND($G$17&gt;0,$H$17&gt;0,$I$17&gt;0,$J$17&gt;0,$K$17&gt;0,$G$23="",$H$23="",$I$23="",$J$23="",$K$23="",K$28=MIN($G$28:$K$28)),$N79*$D79/K$25*$L$25/S79,IF(AND($G$23&gt;0,$H$23&gt;0,$I$23&gt;0,$J$23&gt;0,$K$23&gt;0,$G$17="",$H$17="",$I$17="",$J$17="",$K$17="",K$28=MIN($G$28:$K$28)),$N79*$D79/K$26*$L$26/S79,""))))</f>
        <v/>
      </c>
      <c r="M79" s="27"/>
      <c r="N79" s="80">
        <v>1E-3</v>
      </c>
      <c r="O79" s="82">
        <v>23</v>
      </c>
      <c r="P79" s="82">
        <v>18.399999999999999</v>
      </c>
      <c r="Q79" s="56">
        <v>12.3</v>
      </c>
      <c r="R79" s="56">
        <v>4.5999999999999996</v>
      </c>
      <c r="S79" s="82">
        <v>0.6</v>
      </c>
    </row>
    <row r="80" spans="1:19" s="24" customFormat="1" x14ac:dyDescent="0.3">
      <c r="A80" s="24" t="s">
        <v>113</v>
      </c>
      <c r="B80" s="81" t="s">
        <v>24</v>
      </c>
      <c r="C80" s="13"/>
      <c r="D80" s="21"/>
      <c r="E80" s="14"/>
      <c r="F80" s="75" t="s">
        <v>74</v>
      </c>
      <c r="G80" s="70" t="str">
        <f t="shared" si="14"/>
        <v/>
      </c>
      <c r="H80" s="71" t="str">
        <f t="shared" si="15"/>
        <v/>
      </c>
      <c r="I80" s="71" t="str">
        <f t="shared" si="16"/>
        <v/>
      </c>
      <c r="J80" s="71" t="str">
        <f t="shared" si="17"/>
        <v/>
      </c>
      <c r="K80" s="72" t="str">
        <f t="shared" si="18"/>
        <v/>
      </c>
      <c r="M80" s="27"/>
      <c r="N80" s="80">
        <v>1E-3</v>
      </c>
      <c r="O80" s="82">
        <v>18.5</v>
      </c>
      <c r="P80" s="82">
        <v>14.8</v>
      </c>
      <c r="Q80" s="56">
        <v>9.9</v>
      </c>
      <c r="R80" s="56">
        <v>3.7</v>
      </c>
      <c r="S80" s="82">
        <v>0.48</v>
      </c>
    </row>
    <row r="81" spans="1:19" s="24" customFormat="1" x14ac:dyDescent="0.3">
      <c r="B81" s="81" t="s">
        <v>25</v>
      </c>
      <c r="C81" s="13"/>
      <c r="D81" s="21"/>
      <c r="E81" s="14"/>
      <c r="F81" s="75" t="s">
        <v>74</v>
      </c>
      <c r="G81" s="70" t="str">
        <f t="shared" si="14"/>
        <v/>
      </c>
      <c r="H81" s="71" t="str">
        <f t="shared" si="15"/>
        <v/>
      </c>
      <c r="I81" s="71" t="str">
        <f t="shared" si="16"/>
        <v/>
      </c>
      <c r="J81" s="71" t="str">
        <f t="shared" si="17"/>
        <v/>
      </c>
      <c r="K81" s="72" t="str">
        <f t="shared" si="18"/>
        <v/>
      </c>
      <c r="M81" s="27"/>
      <c r="N81" s="80">
        <v>1E-3</v>
      </c>
      <c r="O81" s="82">
        <v>18.5</v>
      </c>
      <c r="P81" s="82">
        <v>14.8</v>
      </c>
      <c r="Q81" s="56">
        <v>9.9</v>
      </c>
      <c r="R81" s="56">
        <v>3.7</v>
      </c>
      <c r="S81" s="82">
        <v>0.48</v>
      </c>
    </row>
    <row r="82" spans="1:19" s="24" customFormat="1" x14ac:dyDescent="0.3">
      <c r="B82" s="81" t="s">
        <v>26</v>
      </c>
      <c r="C82" s="13"/>
      <c r="D82" s="21"/>
      <c r="E82" s="14"/>
      <c r="F82" s="75" t="s">
        <v>74</v>
      </c>
      <c r="G82" s="70" t="str">
        <f t="shared" si="14"/>
        <v/>
      </c>
      <c r="H82" s="71" t="str">
        <f t="shared" si="15"/>
        <v/>
      </c>
      <c r="I82" s="71" t="str">
        <f t="shared" si="16"/>
        <v/>
      </c>
      <c r="J82" s="71" t="str">
        <f t="shared" si="17"/>
        <v/>
      </c>
      <c r="K82" s="72" t="str">
        <f t="shared" si="18"/>
        <v/>
      </c>
      <c r="M82" s="27"/>
      <c r="N82" s="80">
        <v>1E-3</v>
      </c>
      <c r="O82" s="82">
        <v>75</v>
      </c>
      <c r="P82" s="82">
        <v>60</v>
      </c>
      <c r="Q82" s="56">
        <v>40</v>
      </c>
      <c r="R82" s="56">
        <v>15</v>
      </c>
      <c r="S82" s="82">
        <v>2</v>
      </c>
    </row>
    <row r="83" spans="1:19" s="24" customFormat="1" x14ac:dyDescent="0.3">
      <c r="B83" s="81" t="s">
        <v>27</v>
      </c>
      <c r="C83" s="13"/>
      <c r="D83" s="21"/>
      <c r="E83" s="14"/>
      <c r="F83" s="75" t="s">
        <v>74</v>
      </c>
      <c r="G83" s="70" t="str">
        <f t="shared" si="14"/>
        <v/>
      </c>
      <c r="H83" s="71" t="str">
        <f t="shared" si="15"/>
        <v/>
      </c>
      <c r="I83" s="71" t="str">
        <f t="shared" si="16"/>
        <v/>
      </c>
      <c r="J83" s="71" t="str">
        <f t="shared" si="17"/>
        <v/>
      </c>
      <c r="K83" s="72" t="str">
        <f t="shared" si="18"/>
        <v/>
      </c>
      <c r="M83" s="27"/>
      <c r="N83" s="80">
        <v>1E-3</v>
      </c>
      <c r="O83" s="82">
        <v>75</v>
      </c>
      <c r="P83" s="82">
        <v>60</v>
      </c>
      <c r="Q83" s="56">
        <v>40</v>
      </c>
      <c r="R83" s="56">
        <v>15</v>
      </c>
      <c r="S83" s="82">
        <v>2</v>
      </c>
    </row>
    <row r="84" spans="1:19" s="24" customFormat="1" x14ac:dyDescent="0.3">
      <c r="B84" s="81" t="s">
        <v>28</v>
      </c>
      <c r="C84" s="13"/>
      <c r="D84" s="21"/>
      <c r="E84" s="14"/>
      <c r="F84" s="75" t="s">
        <v>74</v>
      </c>
      <c r="G84" s="70" t="str">
        <f t="shared" si="14"/>
        <v/>
      </c>
      <c r="H84" s="71" t="str">
        <f t="shared" si="15"/>
        <v/>
      </c>
      <c r="I84" s="71" t="str">
        <f t="shared" si="16"/>
        <v/>
      </c>
      <c r="J84" s="71" t="str">
        <f t="shared" si="17"/>
        <v/>
      </c>
      <c r="K84" s="72" t="str">
        <f t="shared" si="18"/>
        <v/>
      </c>
      <c r="M84" s="27"/>
      <c r="N84" s="80">
        <v>1E-3</v>
      </c>
      <c r="O84" s="82">
        <v>75</v>
      </c>
      <c r="P84" s="82">
        <v>60</v>
      </c>
      <c r="Q84" s="56">
        <v>40</v>
      </c>
      <c r="R84" s="56">
        <v>15</v>
      </c>
      <c r="S84" s="82">
        <v>2</v>
      </c>
    </row>
    <row r="85" spans="1:19" s="24" customFormat="1" x14ac:dyDescent="0.3">
      <c r="B85" s="81" t="s">
        <v>29</v>
      </c>
      <c r="C85" s="13"/>
      <c r="D85" s="21"/>
      <c r="E85" s="14"/>
      <c r="F85" s="75" t="s">
        <v>74</v>
      </c>
      <c r="G85" s="70" t="str">
        <f t="shared" si="14"/>
        <v/>
      </c>
      <c r="H85" s="71" t="str">
        <f t="shared" si="15"/>
        <v/>
      </c>
      <c r="I85" s="71" t="str">
        <f t="shared" si="16"/>
        <v/>
      </c>
      <c r="J85" s="71" t="str">
        <f t="shared" si="17"/>
        <v/>
      </c>
      <c r="K85" s="72" t="str">
        <f t="shared" si="18"/>
        <v/>
      </c>
      <c r="M85" s="27"/>
      <c r="N85" s="80">
        <v>1E-3</v>
      </c>
      <c r="O85" s="82">
        <v>75</v>
      </c>
      <c r="P85" s="82">
        <v>60</v>
      </c>
      <c r="Q85" s="56">
        <v>40</v>
      </c>
      <c r="R85" s="56">
        <v>15</v>
      </c>
      <c r="S85" s="82">
        <v>2</v>
      </c>
    </row>
    <row r="86" spans="1:19" s="24" customFormat="1" x14ac:dyDescent="0.3">
      <c r="B86" s="81" t="s">
        <v>30</v>
      </c>
      <c r="C86" s="13"/>
      <c r="D86" s="21"/>
      <c r="E86" s="14"/>
      <c r="F86" s="75" t="s">
        <v>74</v>
      </c>
      <c r="G86" s="70" t="str">
        <f t="shared" si="14"/>
        <v/>
      </c>
      <c r="H86" s="71" t="str">
        <f t="shared" si="15"/>
        <v/>
      </c>
      <c r="I86" s="71" t="str">
        <f t="shared" si="16"/>
        <v/>
      </c>
      <c r="J86" s="71" t="str">
        <f t="shared" si="17"/>
        <v/>
      </c>
      <c r="K86" s="72" t="str">
        <f t="shared" si="18"/>
        <v/>
      </c>
      <c r="M86" s="27"/>
      <c r="N86" s="80">
        <v>1E-3</v>
      </c>
      <c r="O86" s="82">
        <v>75</v>
      </c>
      <c r="P86" s="82">
        <v>60</v>
      </c>
      <c r="Q86" s="56">
        <v>40</v>
      </c>
      <c r="R86" s="56">
        <v>15</v>
      </c>
      <c r="S86" s="82">
        <v>2</v>
      </c>
    </row>
    <row r="87" spans="1:19" s="24" customFormat="1" x14ac:dyDescent="0.3">
      <c r="B87" s="81" t="s">
        <v>31</v>
      </c>
      <c r="C87" s="13"/>
      <c r="D87" s="22"/>
      <c r="E87" s="14"/>
      <c r="F87" s="75" t="s">
        <v>74</v>
      </c>
      <c r="G87" s="70" t="str">
        <f t="shared" si="14"/>
        <v/>
      </c>
      <c r="H87" s="71" t="str">
        <f t="shared" si="15"/>
        <v/>
      </c>
      <c r="I87" s="71" t="str">
        <f t="shared" si="16"/>
        <v/>
      </c>
      <c r="J87" s="71" t="str">
        <f t="shared" si="17"/>
        <v/>
      </c>
      <c r="K87" s="72" t="str">
        <f t="shared" si="18"/>
        <v/>
      </c>
      <c r="M87" s="27"/>
      <c r="N87" s="80">
        <v>1E-3</v>
      </c>
      <c r="O87" s="82">
        <v>375</v>
      </c>
      <c r="P87" s="82">
        <v>300</v>
      </c>
      <c r="Q87" s="56">
        <v>200</v>
      </c>
      <c r="R87" s="56">
        <v>75</v>
      </c>
      <c r="S87" s="82">
        <v>10</v>
      </c>
    </row>
    <row r="88" spans="1:19" s="24" customFormat="1" x14ac:dyDescent="0.3">
      <c r="A88" s="24" t="s">
        <v>114</v>
      </c>
      <c r="B88" s="81" t="s">
        <v>32</v>
      </c>
      <c r="C88" s="13"/>
      <c r="D88" s="21"/>
      <c r="E88" s="14"/>
      <c r="F88" s="75" t="s">
        <v>74</v>
      </c>
      <c r="G88" s="70" t="str">
        <f t="shared" si="14"/>
        <v/>
      </c>
      <c r="H88" s="71" t="str">
        <f t="shared" si="15"/>
        <v/>
      </c>
      <c r="I88" s="71" t="str">
        <f t="shared" si="16"/>
        <v/>
      </c>
      <c r="J88" s="71" t="str">
        <f t="shared" si="17"/>
        <v/>
      </c>
      <c r="K88" s="72" t="str">
        <f t="shared" si="18"/>
        <v/>
      </c>
      <c r="M88" s="27"/>
      <c r="N88" s="80">
        <v>1E-3</v>
      </c>
      <c r="O88" s="82">
        <v>600</v>
      </c>
      <c r="P88" s="82">
        <v>480</v>
      </c>
      <c r="Q88" s="56">
        <v>320</v>
      </c>
      <c r="R88" s="56">
        <v>120</v>
      </c>
      <c r="S88" s="82">
        <v>16</v>
      </c>
    </row>
    <row r="89" spans="1:19" s="24" customFormat="1" x14ac:dyDescent="0.3">
      <c r="B89" s="81" t="s">
        <v>33</v>
      </c>
      <c r="C89" s="13"/>
      <c r="D89" s="21"/>
      <c r="E89" s="14"/>
      <c r="F89" s="75" t="s">
        <v>74</v>
      </c>
      <c r="G89" s="70" t="str">
        <f t="shared" si="14"/>
        <v/>
      </c>
      <c r="H89" s="71" t="str">
        <f t="shared" si="15"/>
        <v/>
      </c>
      <c r="I89" s="71" t="str">
        <f t="shared" si="16"/>
        <v/>
      </c>
      <c r="J89" s="71" t="str">
        <f t="shared" si="17"/>
        <v/>
      </c>
      <c r="K89" s="72" t="str">
        <f t="shared" si="18"/>
        <v/>
      </c>
      <c r="M89" s="27"/>
      <c r="N89" s="80">
        <v>1E-3</v>
      </c>
      <c r="O89" s="82">
        <v>750</v>
      </c>
      <c r="P89" s="82">
        <v>600</v>
      </c>
      <c r="Q89" s="56">
        <v>400</v>
      </c>
      <c r="R89" s="56">
        <v>150</v>
      </c>
      <c r="S89" s="82">
        <v>20</v>
      </c>
    </row>
    <row r="90" spans="1:19" s="24" customFormat="1" x14ac:dyDescent="0.3">
      <c r="B90" s="81" t="s">
        <v>34</v>
      </c>
      <c r="C90" s="13"/>
      <c r="D90" s="21"/>
      <c r="E90" s="14"/>
      <c r="F90" s="75" t="s">
        <v>74</v>
      </c>
      <c r="G90" s="70" t="str">
        <f t="shared" si="14"/>
        <v/>
      </c>
      <c r="H90" s="71" t="str">
        <f t="shared" si="15"/>
        <v/>
      </c>
      <c r="I90" s="71" t="str">
        <f t="shared" si="16"/>
        <v/>
      </c>
      <c r="J90" s="71" t="str">
        <f t="shared" si="17"/>
        <v/>
      </c>
      <c r="K90" s="72" t="str">
        <f t="shared" si="18"/>
        <v/>
      </c>
      <c r="M90" s="27"/>
      <c r="N90" s="80">
        <v>1E-3</v>
      </c>
      <c r="O90" s="82">
        <v>600</v>
      </c>
      <c r="P90" s="82">
        <v>480</v>
      </c>
      <c r="Q90" s="56">
        <v>320</v>
      </c>
      <c r="R90" s="56">
        <v>120</v>
      </c>
      <c r="S90" s="82">
        <v>16</v>
      </c>
    </row>
    <row r="91" spans="1:19" s="24" customFormat="1" x14ac:dyDescent="0.3">
      <c r="B91" s="81" t="s">
        <v>35</v>
      </c>
      <c r="C91" s="13"/>
      <c r="D91" s="21"/>
      <c r="E91" s="14"/>
      <c r="F91" s="75" t="s">
        <v>74</v>
      </c>
      <c r="G91" s="70" t="str">
        <f>IF(OR($D91="",$G$10=""),"",IF(AND(G$17&gt;0,G$23&gt;0),"",IF(AND($G$17&gt;0,$H$17&gt;0,$I$17&gt;0,$J$17&gt;0,$K$17&gt;0,$G$23="",$H$23="",$I$23="",$J$23="",$K$23="",G$28=MIN($G$28:$K$28)),$N91*$D91/G$25*$L$25/O91,IF(AND($G$23&gt;0,$H$23&gt;0,$I$23&gt;0,$J$23&gt;0,$K$23&gt;0,$G$17="",$H$17="",$I$17="",$J$17="",$K$17="",G$28=MIN($G$28:$K$28)),$N91*$D91/G$26*$L$26/O91,""))))</f>
        <v/>
      </c>
      <c r="H91" s="71" t="str">
        <f>IF(OR($D91="",$G$10=""),"",IF(AND(H$17&gt;0,H$23&gt;0),"",IF(AND($G$17&gt;0,$H$17&gt;0,$I$17&gt;0,$J$17&gt;0,$K$17&gt;0,$G$23="",$H$23="",$I$23="",$J$23="",$K$23="",H$28=MIN($G$28:$K$28)),$N91*$D91/H$25*$L$25/P91,IF(AND($G$23&gt;0,$H$23&gt;0,$I$23&gt;0,$J$23&gt;0,$K$23&gt;0,$G$17="",$H$17="",$I$17="",$J$17="",$K$17="",H$28=MIN($G$28:$K$28)),$N91*$D91/H$26*$L$26/P91,""))))</f>
        <v/>
      </c>
      <c r="I91" s="71" t="str">
        <f>IF(OR($D91="",$G$10=""),"",IF(AND(I$17&gt;0,I$23&gt;0),"",IF(AND($G$17&gt;0,$H$17&gt;0,$I$17&gt;0,$J$17&gt;0,$K$17&gt;0,$G$23="",$H$23="",$I$23="",$J$23="",$K$23="",I$28=MIN($G$28:$K$28)),$N91*$D91/I$25*$L$25/Q91,IF(AND($G$23&gt;0,$H$23&gt;0,$I$23&gt;0,$J$23&gt;0,$K$23&gt;0,$G$17="",$H$17="",$I$17="",$J$17="",$K$17="",I$28=MIN($G$28:$K$28)),$N91*$D91/I$26*$L$26/Q91,""))))</f>
        <v/>
      </c>
      <c r="J91" s="71" t="str">
        <f t="shared" si="17"/>
        <v/>
      </c>
      <c r="K91" s="72" t="str">
        <f t="shared" si="18"/>
        <v/>
      </c>
      <c r="M91" s="27"/>
      <c r="N91" s="80">
        <v>1E-3</v>
      </c>
      <c r="O91" s="82">
        <v>185</v>
      </c>
      <c r="P91" s="82">
        <v>148</v>
      </c>
      <c r="Q91" s="56">
        <v>98</v>
      </c>
      <c r="R91" s="56">
        <v>37</v>
      </c>
      <c r="S91" s="82">
        <v>4.9000000000000004</v>
      </c>
    </row>
    <row r="92" spans="1:19" s="24" customFormat="1" x14ac:dyDescent="0.3">
      <c r="B92" s="81" t="s">
        <v>36</v>
      </c>
      <c r="C92" s="13"/>
      <c r="D92" s="21"/>
      <c r="E92" s="14"/>
      <c r="F92" s="75" t="s">
        <v>74</v>
      </c>
      <c r="G92" s="70" t="str">
        <f t="shared" si="14"/>
        <v/>
      </c>
      <c r="H92" s="71" t="str">
        <f t="shared" si="15"/>
        <v/>
      </c>
      <c r="I92" s="71" t="str">
        <f t="shared" si="16"/>
        <v/>
      </c>
      <c r="J92" s="71" t="str">
        <f t="shared" si="17"/>
        <v/>
      </c>
      <c r="K92" s="72" t="str">
        <f t="shared" si="18"/>
        <v/>
      </c>
      <c r="M92" s="27"/>
      <c r="N92" s="80">
        <v>1E-3</v>
      </c>
      <c r="O92" s="82">
        <v>230</v>
      </c>
      <c r="P92" s="82">
        <v>184</v>
      </c>
      <c r="Q92" s="56">
        <v>123</v>
      </c>
      <c r="R92" s="56">
        <v>46</v>
      </c>
      <c r="S92" s="82">
        <v>6.1</v>
      </c>
    </row>
    <row r="93" spans="1:19" s="24" customFormat="1" x14ac:dyDescent="0.3">
      <c r="B93" s="81" t="s">
        <v>37</v>
      </c>
      <c r="C93" s="13"/>
      <c r="D93" s="21"/>
      <c r="E93" s="14"/>
      <c r="F93" s="75" t="s">
        <v>74</v>
      </c>
      <c r="G93" s="70" t="str">
        <f t="shared" si="14"/>
        <v/>
      </c>
      <c r="H93" s="71" t="str">
        <f t="shared" si="15"/>
        <v/>
      </c>
      <c r="I93" s="71" t="str">
        <f t="shared" si="16"/>
        <v/>
      </c>
      <c r="J93" s="71" t="str">
        <f t="shared" si="17"/>
        <v/>
      </c>
      <c r="K93" s="72" t="str">
        <f t="shared" si="18"/>
        <v/>
      </c>
      <c r="M93" s="27"/>
      <c r="N93" s="80">
        <v>1E-3</v>
      </c>
      <c r="O93" s="82">
        <v>230</v>
      </c>
      <c r="P93" s="82">
        <v>184</v>
      </c>
      <c r="Q93" s="56">
        <v>123</v>
      </c>
      <c r="R93" s="56">
        <v>46</v>
      </c>
      <c r="S93" s="82">
        <v>6.1</v>
      </c>
    </row>
    <row r="94" spans="1:19" s="24" customFormat="1" x14ac:dyDescent="0.3">
      <c r="B94" s="81" t="s">
        <v>70</v>
      </c>
      <c r="C94" s="13"/>
      <c r="D94" s="21"/>
      <c r="E94" s="14"/>
      <c r="F94" s="75" t="s">
        <v>74</v>
      </c>
      <c r="G94" s="70" t="str">
        <f t="shared" si="14"/>
        <v/>
      </c>
      <c r="H94" s="71" t="str">
        <f t="shared" si="15"/>
        <v/>
      </c>
      <c r="I94" s="71" t="str">
        <f t="shared" si="16"/>
        <v/>
      </c>
      <c r="J94" s="71" t="str">
        <f t="shared" si="17"/>
        <v/>
      </c>
      <c r="K94" s="72" t="str">
        <f t="shared" si="18"/>
        <v/>
      </c>
      <c r="M94" s="27"/>
      <c r="N94" s="80">
        <v>1E-3</v>
      </c>
      <c r="O94" s="82">
        <v>270</v>
      </c>
      <c r="P94" s="82">
        <v>216</v>
      </c>
      <c r="Q94" s="56">
        <v>144</v>
      </c>
      <c r="R94" s="56">
        <v>54</v>
      </c>
      <c r="S94" s="82">
        <v>7.2</v>
      </c>
    </row>
    <row r="95" spans="1:19" s="24" customFormat="1" x14ac:dyDescent="0.3">
      <c r="B95" s="81" t="s">
        <v>38</v>
      </c>
      <c r="C95" s="13"/>
      <c r="D95" s="21"/>
      <c r="E95" s="14"/>
      <c r="F95" s="75" t="s">
        <v>74</v>
      </c>
      <c r="G95" s="70" t="str">
        <f t="shared" si="14"/>
        <v/>
      </c>
      <c r="H95" s="71" t="str">
        <f t="shared" si="15"/>
        <v/>
      </c>
      <c r="I95" s="71" t="str">
        <f t="shared" si="16"/>
        <v/>
      </c>
      <c r="J95" s="71" t="str">
        <f t="shared" si="17"/>
        <v/>
      </c>
      <c r="K95" s="72" t="str">
        <f t="shared" si="18"/>
        <v/>
      </c>
      <c r="M95" s="27"/>
      <c r="N95" s="80">
        <v>1E-3</v>
      </c>
      <c r="O95" s="82">
        <v>290</v>
      </c>
      <c r="P95" s="82">
        <v>232</v>
      </c>
      <c r="Q95" s="56">
        <v>155</v>
      </c>
      <c r="R95" s="56">
        <v>58</v>
      </c>
      <c r="S95" s="82">
        <v>7.7</v>
      </c>
    </row>
    <row r="96" spans="1:19" s="24" customFormat="1" x14ac:dyDescent="0.3">
      <c r="B96" s="81" t="s">
        <v>39</v>
      </c>
      <c r="C96" s="13"/>
      <c r="D96" s="21"/>
      <c r="E96" s="14"/>
      <c r="F96" s="75" t="s">
        <v>74</v>
      </c>
      <c r="G96" s="70" t="str">
        <f t="shared" si="14"/>
        <v/>
      </c>
      <c r="H96" s="71" t="str">
        <f t="shared" si="15"/>
        <v/>
      </c>
      <c r="I96" s="71" t="str">
        <f t="shared" si="16"/>
        <v/>
      </c>
      <c r="J96" s="71" t="str">
        <f t="shared" si="17"/>
        <v/>
      </c>
      <c r="K96" s="72" t="str">
        <f t="shared" si="18"/>
        <v/>
      </c>
      <c r="M96" s="27"/>
      <c r="N96" s="80">
        <v>1E-3</v>
      </c>
      <c r="O96" s="82">
        <v>210</v>
      </c>
      <c r="P96" s="82">
        <v>168</v>
      </c>
      <c r="Q96" s="56">
        <v>112</v>
      </c>
      <c r="R96" s="56">
        <v>42</v>
      </c>
      <c r="S96" s="82">
        <v>5.6</v>
      </c>
    </row>
    <row r="97" spans="1:19" s="24" customFormat="1" x14ac:dyDescent="0.3">
      <c r="B97" s="81" t="s">
        <v>40</v>
      </c>
      <c r="C97" s="13"/>
      <c r="D97" s="21"/>
      <c r="E97" s="14"/>
      <c r="F97" s="75" t="s">
        <v>74</v>
      </c>
      <c r="G97" s="70" t="str">
        <f t="shared" si="14"/>
        <v/>
      </c>
      <c r="H97" s="71" t="str">
        <f t="shared" si="15"/>
        <v/>
      </c>
      <c r="I97" s="71" t="str">
        <f t="shared" si="16"/>
        <v/>
      </c>
      <c r="J97" s="71" t="str">
        <f t="shared" si="17"/>
        <v/>
      </c>
      <c r="K97" s="72" t="str">
        <f t="shared" si="18"/>
        <v/>
      </c>
      <c r="M97" s="27"/>
      <c r="N97" s="80">
        <v>1E-3</v>
      </c>
      <c r="O97" s="82">
        <v>235</v>
      </c>
      <c r="P97" s="82">
        <v>188</v>
      </c>
      <c r="Q97" s="56">
        <v>125</v>
      </c>
      <c r="R97" s="56">
        <v>47</v>
      </c>
      <c r="S97" s="82">
        <v>6.3</v>
      </c>
    </row>
    <row r="98" spans="1:19" s="24" customFormat="1" x14ac:dyDescent="0.3">
      <c r="B98" s="81" t="s">
        <v>41</v>
      </c>
      <c r="C98" s="13"/>
      <c r="D98" s="22"/>
      <c r="E98" s="14"/>
      <c r="F98" s="75" t="s">
        <v>74</v>
      </c>
      <c r="G98" s="70" t="str">
        <f t="shared" si="14"/>
        <v/>
      </c>
      <c r="H98" s="71" t="str">
        <f t="shared" si="15"/>
        <v/>
      </c>
      <c r="I98" s="71" t="str">
        <f t="shared" si="16"/>
        <v/>
      </c>
      <c r="J98" s="71" t="str">
        <f t="shared" si="17"/>
        <v/>
      </c>
      <c r="K98" s="72" t="str">
        <f t="shared" si="18"/>
        <v/>
      </c>
      <c r="M98" s="27"/>
      <c r="N98" s="80">
        <v>1E-3</v>
      </c>
      <c r="O98" s="82">
        <v>11500</v>
      </c>
      <c r="P98" s="82">
        <v>9200</v>
      </c>
      <c r="Q98" s="56">
        <v>6133</v>
      </c>
      <c r="R98" s="56">
        <v>2300</v>
      </c>
      <c r="S98" s="82">
        <v>307</v>
      </c>
    </row>
    <row r="99" spans="1:19" s="24" customFormat="1" x14ac:dyDescent="0.3">
      <c r="A99" s="24" t="s">
        <v>104</v>
      </c>
      <c r="B99" s="81" t="s">
        <v>42</v>
      </c>
      <c r="C99" s="13"/>
      <c r="D99" s="21"/>
      <c r="E99" s="14"/>
      <c r="F99" s="69" t="s">
        <v>72</v>
      </c>
      <c r="G99" s="70" t="str">
        <f t="shared" si="14"/>
        <v/>
      </c>
      <c r="H99" s="71" t="str">
        <f t="shared" si="15"/>
        <v/>
      </c>
      <c r="I99" s="71" t="str">
        <f t="shared" si="16"/>
        <v/>
      </c>
      <c r="J99" s="71" t="str">
        <f t="shared" si="17"/>
        <v/>
      </c>
      <c r="K99" s="72" t="str">
        <f t="shared" si="18"/>
        <v/>
      </c>
      <c r="M99" s="27"/>
      <c r="N99" s="73">
        <v>1</v>
      </c>
      <c r="O99" s="82">
        <v>935000</v>
      </c>
      <c r="P99" s="82">
        <v>748000</v>
      </c>
      <c r="Q99" s="56">
        <v>498668</v>
      </c>
      <c r="R99" s="56">
        <v>187000</v>
      </c>
      <c r="S99" s="82">
        <v>24933</v>
      </c>
    </row>
    <row r="100" spans="1:19" s="24" customFormat="1" x14ac:dyDescent="0.3">
      <c r="B100" s="85"/>
      <c r="F100" s="86"/>
      <c r="G100" s="71"/>
      <c r="H100" s="71"/>
      <c r="I100" s="71"/>
      <c r="J100" s="71"/>
      <c r="K100" s="71"/>
      <c r="M100" s="27"/>
      <c r="N100" s="87"/>
      <c r="O100" s="82"/>
      <c r="P100" s="82"/>
      <c r="Q100" s="56"/>
      <c r="R100" s="56"/>
      <c r="S100" s="82"/>
    </row>
    <row r="101" spans="1:19" ht="41.25" customHeight="1" x14ac:dyDescent="0.3">
      <c r="A101" s="24"/>
      <c r="B101" s="99" t="s">
        <v>117</v>
      </c>
      <c r="C101" s="25"/>
      <c r="D101" s="101" t="s">
        <v>134</v>
      </c>
      <c r="E101" s="101"/>
      <c r="F101" s="101"/>
      <c r="G101" s="101"/>
      <c r="H101" s="101"/>
      <c r="I101" s="101"/>
      <c r="J101" s="101"/>
      <c r="K101" s="101"/>
      <c r="L101" s="24"/>
    </row>
    <row r="102" spans="1:19" x14ac:dyDescent="0.3">
      <c r="A102" s="24"/>
      <c r="B102" s="89" t="s">
        <v>125</v>
      </c>
      <c r="C102" s="90"/>
      <c r="D102" s="26" t="s">
        <v>132</v>
      </c>
      <c r="E102" s="26"/>
      <c r="F102" s="26"/>
      <c r="G102" s="26"/>
      <c r="H102" s="26"/>
      <c r="I102" s="26"/>
      <c r="J102" s="26"/>
      <c r="K102" s="26"/>
      <c r="L102" s="24"/>
    </row>
    <row r="103" spans="1:19" x14ac:dyDescent="0.3">
      <c r="A103" s="24"/>
      <c r="B103" s="91"/>
      <c r="C103" s="90"/>
      <c r="D103" s="26" t="s">
        <v>133</v>
      </c>
      <c r="E103" s="26"/>
      <c r="F103" s="26"/>
      <c r="G103" s="26"/>
      <c r="H103" s="26"/>
      <c r="I103" s="26"/>
      <c r="J103" s="26"/>
      <c r="K103" s="26"/>
      <c r="L103" s="24"/>
    </row>
  </sheetData>
  <sheetProtection sheet="1" objects="1" selectLockedCells="1"/>
  <mergeCells count="6">
    <mergeCell ref="D101:K101"/>
    <mergeCell ref="H10:K12"/>
    <mergeCell ref="J2:K2"/>
    <mergeCell ref="G14:K14"/>
    <mergeCell ref="G35:K35"/>
    <mergeCell ref="G20:K20"/>
  </mergeCells>
  <conditionalFormatting sqref="F37:F100">
    <cfRule type="expression" dxfId="5" priority="20">
      <formula>AND( E37 &lt;&gt;F37, E37 &lt;&gt;"")</formula>
    </cfRule>
  </conditionalFormatting>
  <conditionalFormatting sqref="G37:K100">
    <cfRule type="cellIs" dxfId="4" priority="1" operator="greaterThan">
      <formula>1</formula>
    </cfRule>
    <cfRule type="cellIs" dxfId="3" priority="4" operator="greaterThan">
      <formula>1</formula>
    </cfRule>
  </conditionalFormatting>
  <conditionalFormatting sqref="G36:H36 J36:K36">
    <cfRule type="expression" dxfId="2" priority="23">
      <formula>G28=MIN($G28:$K28)</formula>
    </cfRule>
  </conditionalFormatting>
  <conditionalFormatting sqref="I36">
    <cfRule type="expression" dxfId="1" priority="3">
      <formula>I28=MIN($G28:$K28)</formula>
    </cfRule>
  </conditionalFormatting>
  <conditionalFormatting sqref="G28:K28">
    <cfRule type="cellIs" dxfId="0" priority="2" operator="greaterThan">
      <formula>0</formula>
    </cfRule>
  </conditionalFormatting>
  <pageMargins left="0.7" right="0.7" top="0.75" bottom="0.75" header="0.3" footer="0.3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N28"/>
  <sheetViews>
    <sheetView workbookViewId="0">
      <selection activeCell="B12" sqref="B12"/>
    </sheetView>
  </sheetViews>
  <sheetFormatPr defaultRowHeight="15" x14ac:dyDescent="0.25"/>
  <cols>
    <col min="1" max="1" width="13" customWidth="1"/>
    <col min="3" max="3" width="8.140625" customWidth="1"/>
    <col min="4" max="8" width="14.7109375" customWidth="1"/>
    <col min="9" max="9" width="163.5703125" customWidth="1"/>
    <col min="11" max="11" width="14.28515625" customWidth="1"/>
    <col min="14" max="14" width="11" customWidth="1"/>
  </cols>
  <sheetData>
    <row r="1" spans="1:14" ht="21" x14ac:dyDescent="0.35">
      <c r="A1" s="6" t="s">
        <v>76</v>
      </c>
    </row>
    <row r="3" spans="1:14" x14ac:dyDescent="0.25">
      <c r="A3" t="s">
        <v>77</v>
      </c>
    </row>
    <row r="4" spans="1:14" x14ac:dyDescent="0.25">
      <c r="B4" s="3">
        <v>0</v>
      </c>
      <c r="C4" t="s">
        <v>135</v>
      </c>
      <c r="E4" t="s">
        <v>93</v>
      </c>
      <c r="J4" t="s">
        <v>78</v>
      </c>
    </row>
    <row r="5" spans="1:14" x14ac:dyDescent="0.25">
      <c r="B5" s="3">
        <v>0</v>
      </c>
      <c r="C5" t="s">
        <v>79</v>
      </c>
    </row>
    <row r="6" spans="1:14" x14ac:dyDescent="0.25">
      <c r="J6" s="2">
        <f>IF(10*B4&gt;B5, 10*B4, B5)</f>
        <v>0</v>
      </c>
      <c r="K6" t="s">
        <v>79</v>
      </c>
    </row>
    <row r="7" spans="1:14" x14ac:dyDescent="0.25">
      <c r="A7" t="s">
        <v>80</v>
      </c>
      <c r="D7" s="7" t="s">
        <v>81</v>
      </c>
      <c r="E7" s="7"/>
      <c r="F7" s="7"/>
      <c r="G7" s="7"/>
      <c r="H7" s="7"/>
    </row>
    <row r="8" spans="1:14" x14ac:dyDescent="0.25">
      <c r="A8" t="s">
        <v>1</v>
      </c>
      <c r="B8" t="s">
        <v>82</v>
      </c>
      <c r="D8" s="8" t="s">
        <v>83</v>
      </c>
      <c r="E8" s="8" t="s">
        <v>84</v>
      </c>
      <c r="F8" s="8" t="s">
        <v>85</v>
      </c>
      <c r="G8" s="9" t="s">
        <v>86</v>
      </c>
      <c r="H8" s="9" t="s">
        <v>87</v>
      </c>
      <c r="J8" t="s">
        <v>83</v>
      </c>
      <c r="K8" t="s">
        <v>84</v>
      </c>
      <c r="L8" t="s">
        <v>85</v>
      </c>
      <c r="M8" s="10" t="s">
        <v>86</v>
      </c>
      <c r="N8" s="10" t="s">
        <v>87</v>
      </c>
    </row>
    <row r="9" spans="1:14" x14ac:dyDescent="0.25">
      <c r="D9" s="11"/>
      <c r="E9" s="11"/>
      <c r="F9" s="11"/>
      <c r="G9" s="11"/>
      <c r="H9" s="11"/>
    </row>
    <row r="10" spans="1:14" x14ac:dyDescent="0.25">
      <c r="A10" t="s">
        <v>88</v>
      </c>
      <c r="B10" s="3">
        <v>0</v>
      </c>
      <c r="D10" s="100">
        <f ca="1">CELL("contents",J10)</f>
        <v>0</v>
      </c>
      <c r="E10" s="100" t="e">
        <f ca="1">CELL("contents",K10)</f>
        <v>#DIV/0!</v>
      </c>
      <c r="F10" s="100" t="e">
        <f ca="1">CELL("contents",L10)</f>
        <v>#DIV/0!</v>
      </c>
      <c r="G10" s="100" t="e">
        <f ca="1">CELL("contents",M10)</f>
        <v>#DIV/0!</v>
      </c>
      <c r="H10" s="100" t="e">
        <f ca="1">CELL("contents",N10)</f>
        <v>#DIV/0!</v>
      </c>
      <c r="J10">
        <f>$B$10*10</f>
        <v>0</v>
      </c>
      <c r="K10" s="2" t="e">
        <f>$B$10*10*1000/$J$6</f>
        <v>#DIV/0!</v>
      </c>
      <c r="L10" s="2" t="e">
        <f>$B$10*10*1000*1000/$J$6</f>
        <v>#DIV/0!</v>
      </c>
      <c r="M10" s="2" t="e">
        <f>$B$10*10*1000000*1000/$J$6</f>
        <v>#DIV/0!</v>
      </c>
      <c r="N10" s="2" t="e">
        <f>$B$10*10*1000000000*1000/$J$6</f>
        <v>#DIV/0!</v>
      </c>
    </row>
    <row r="11" spans="1:14" x14ac:dyDescent="0.25">
      <c r="D11" s="100"/>
      <c r="E11" s="100"/>
      <c r="F11" s="100"/>
      <c r="G11" s="100"/>
      <c r="H11" s="100"/>
    </row>
    <row r="12" spans="1:14" x14ac:dyDescent="0.25">
      <c r="A12" t="s">
        <v>83</v>
      </c>
      <c r="B12" s="3">
        <v>0</v>
      </c>
      <c r="D12" s="100">
        <f ca="1">CELL("contents",J12)</f>
        <v>0</v>
      </c>
      <c r="E12" s="100" t="e">
        <f ca="1">CELL("contents",K12)</f>
        <v>#DIV/0!</v>
      </c>
      <c r="F12" s="100" t="e">
        <f ca="1">CELL("contents",L12)</f>
        <v>#DIV/0!</v>
      </c>
      <c r="G12" s="100" t="e">
        <f ca="1">CELL("contents",M12)</f>
        <v>#DIV/0!</v>
      </c>
      <c r="H12" s="100" t="e">
        <f ca="1">CELL("contents",N12)</f>
        <v>#DIV/0!</v>
      </c>
      <c r="J12">
        <f>$B$12</f>
        <v>0</v>
      </c>
      <c r="K12" t="e">
        <f>$B$12*1000/$J$6</f>
        <v>#DIV/0!</v>
      </c>
      <c r="L12" t="e">
        <f>$B$12*1000*1000/$J$6</f>
        <v>#DIV/0!</v>
      </c>
      <c r="M12" t="e">
        <f>$B$12*1000000*1000/$J$6</f>
        <v>#DIV/0!</v>
      </c>
      <c r="N12" t="e">
        <f>$B$12*1000000000*1000/$J$6</f>
        <v>#DIV/0!</v>
      </c>
    </row>
    <row r="13" spans="1:14" x14ac:dyDescent="0.25">
      <c r="D13" s="100"/>
      <c r="E13" s="100"/>
      <c r="F13" s="100"/>
      <c r="G13" s="100"/>
      <c r="H13" s="100"/>
    </row>
    <row r="14" spans="1:14" x14ac:dyDescent="0.25">
      <c r="A14" t="s">
        <v>89</v>
      </c>
      <c r="B14" s="3">
        <v>0</v>
      </c>
      <c r="D14" s="100">
        <f ca="1">CELL("contents",J14)</f>
        <v>0</v>
      </c>
      <c r="E14" s="100" t="e">
        <f ca="1">CELL("contents",K14)</f>
        <v>#DIV/0!</v>
      </c>
      <c r="F14" s="100" t="e">
        <f ca="1">CELL("contents",L14)</f>
        <v>#DIV/0!</v>
      </c>
      <c r="G14" s="100" t="e">
        <f ca="1">CELL("contents",M14)</f>
        <v>#DIV/0!</v>
      </c>
      <c r="H14" s="100" t="e">
        <f ca="1">CELL("contents",N14)</f>
        <v>#DIV/0!</v>
      </c>
      <c r="J14">
        <f>$B$14/1000</f>
        <v>0</v>
      </c>
      <c r="K14" t="e">
        <f>$B$14/$J$6</f>
        <v>#DIV/0!</v>
      </c>
      <c r="L14" t="e">
        <f>$B$14/$J$6*1000</f>
        <v>#DIV/0!</v>
      </c>
      <c r="M14" t="e">
        <f>$B$14/$J$6*1000000</f>
        <v>#DIV/0!</v>
      </c>
      <c r="N14" t="e">
        <f>$B$14/$J$6*1000000000</f>
        <v>#DIV/0!</v>
      </c>
    </row>
    <row r="15" spans="1:14" x14ac:dyDescent="0.25">
      <c r="D15" s="100"/>
      <c r="E15" s="100"/>
      <c r="F15" s="100"/>
      <c r="G15" s="100"/>
      <c r="H15" s="100"/>
    </row>
    <row r="16" spans="1:14" x14ac:dyDescent="0.25">
      <c r="A16" s="10" t="s">
        <v>90</v>
      </c>
      <c r="B16" s="3">
        <v>0</v>
      </c>
      <c r="D16" s="100">
        <f ca="1">CELL("contents",J16)</f>
        <v>0</v>
      </c>
      <c r="E16" s="100" t="e">
        <f ca="1">CELL("contents",K16)</f>
        <v>#DIV/0!</v>
      </c>
      <c r="F16" s="100" t="e">
        <f ca="1">CELL("contents",L16)</f>
        <v>#DIV/0!</v>
      </c>
      <c r="G16" s="100" t="e">
        <f ca="1">CELL("contents",M16)</f>
        <v>#DIV/0!</v>
      </c>
      <c r="H16" s="100" t="e">
        <f ca="1">CELL("contents",N16)</f>
        <v>#DIV/0!</v>
      </c>
      <c r="J16">
        <f>$B$16/1000000</f>
        <v>0</v>
      </c>
      <c r="K16" t="e">
        <f>$B$16/1000000*1000/$J$6</f>
        <v>#DIV/0!</v>
      </c>
      <c r="L16" t="e">
        <f>$B$16/1000*1000/$J$6</f>
        <v>#DIV/0!</v>
      </c>
      <c r="M16" t="e">
        <f>$B$16*1000/$J$6</f>
        <v>#DIV/0!</v>
      </c>
      <c r="N16" t="e">
        <f>$B$16*1000*1000/$J$6</f>
        <v>#DIV/0!</v>
      </c>
    </row>
    <row r="17" spans="1:14" x14ac:dyDescent="0.25">
      <c r="D17" s="100"/>
      <c r="E17" s="100"/>
      <c r="F17" s="100"/>
      <c r="G17" s="100"/>
      <c r="H17" s="100"/>
    </row>
    <row r="18" spans="1:14" x14ac:dyDescent="0.25">
      <c r="A18" s="10" t="s">
        <v>91</v>
      </c>
      <c r="B18" s="3">
        <v>0</v>
      </c>
      <c r="C18" s="2"/>
      <c r="D18" s="100">
        <f ca="1">CELL("contents",J18)</f>
        <v>0</v>
      </c>
      <c r="E18" s="100" t="e">
        <f ca="1">CELL("contents",K18)</f>
        <v>#DIV/0!</v>
      </c>
      <c r="F18" s="100" t="e">
        <f ca="1">CELL("contents",L18)</f>
        <v>#DIV/0!</v>
      </c>
      <c r="G18" s="100" t="e">
        <f ca="1">CELL("contents",M18)</f>
        <v>#DIV/0!</v>
      </c>
      <c r="H18" s="100" t="e">
        <f ca="1">CELL("contents",N18)</f>
        <v>#DIV/0!</v>
      </c>
      <c r="J18">
        <f>$B$18/1000000000</f>
        <v>0</v>
      </c>
      <c r="K18" t="e">
        <f>$B$18/1000000000*1000/$J$6</f>
        <v>#DIV/0!</v>
      </c>
      <c r="L18" t="e">
        <f>$B$18/1000000*1000/$J$6</f>
        <v>#DIV/0!</v>
      </c>
      <c r="M18" t="e">
        <f>$B$18/1000*1000/$J$6</f>
        <v>#DIV/0!</v>
      </c>
      <c r="N18" t="e">
        <f>$B$18*1000/$J$6</f>
        <v>#DIV/0!</v>
      </c>
    </row>
    <row r="19" spans="1:14" x14ac:dyDescent="0.25">
      <c r="D19" s="100"/>
      <c r="E19" s="100"/>
      <c r="F19" s="100"/>
      <c r="G19" s="100"/>
      <c r="H19" s="100"/>
    </row>
    <row r="20" spans="1:14" x14ac:dyDescent="0.25">
      <c r="A20" t="s">
        <v>92</v>
      </c>
      <c r="B20" s="3">
        <v>0</v>
      </c>
      <c r="D20" s="100">
        <f ca="1">CELL("contents",J20)</f>
        <v>0</v>
      </c>
      <c r="E20" s="100">
        <f ca="1">CELL("contents",K20)</f>
        <v>0</v>
      </c>
      <c r="F20" s="100">
        <f ca="1">CELL("contents",L20)</f>
        <v>0</v>
      </c>
      <c r="G20" s="100">
        <f ca="1">CELL("contents",M20)</f>
        <v>0</v>
      </c>
      <c r="H20" s="100">
        <f ca="1">CELL("contents",N20)</f>
        <v>0</v>
      </c>
      <c r="J20">
        <f>$B$20*10*$J$6/1000</f>
        <v>0</v>
      </c>
      <c r="K20">
        <f>$B$20*10</f>
        <v>0</v>
      </c>
      <c r="L20">
        <f>$B$20*10*1000</f>
        <v>0</v>
      </c>
      <c r="M20">
        <f>$B$20*10*1000000</f>
        <v>0</v>
      </c>
      <c r="N20">
        <f>$B$20*10*1000000000</f>
        <v>0</v>
      </c>
    </row>
    <row r="21" spans="1:14" x14ac:dyDescent="0.25">
      <c r="D21" s="100"/>
      <c r="E21" s="100"/>
      <c r="F21" s="100"/>
      <c r="G21" s="100"/>
      <c r="H21" s="100"/>
    </row>
    <row r="22" spans="1:14" x14ac:dyDescent="0.25">
      <c r="A22" t="s">
        <v>84</v>
      </c>
      <c r="B22" s="3">
        <v>0</v>
      </c>
      <c r="D22" s="100">
        <f ca="1">CELL("contents",J22)</f>
        <v>0</v>
      </c>
      <c r="E22" s="100">
        <f ca="1">CELL("contents",K22)</f>
        <v>0</v>
      </c>
      <c r="F22" s="100">
        <f ca="1">CELL("contents",L22)</f>
        <v>0</v>
      </c>
      <c r="G22" s="100">
        <f ca="1">CELL("contents",M22)</f>
        <v>0</v>
      </c>
      <c r="H22" s="100">
        <f ca="1">CELL("contents",N22)</f>
        <v>0</v>
      </c>
      <c r="J22">
        <f>$B$22*$J$6/1000</f>
        <v>0</v>
      </c>
      <c r="K22">
        <f>$B$22</f>
        <v>0</v>
      </c>
      <c r="L22">
        <f>$B$22*1000</f>
        <v>0</v>
      </c>
      <c r="M22">
        <f>$B$22*1000000</f>
        <v>0</v>
      </c>
      <c r="N22">
        <f>$B$22*1000000000</f>
        <v>0</v>
      </c>
    </row>
    <row r="23" spans="1:14" x14ac:dyDescent="0.25">
      <c r="D23" s="100"/>
      <c r="E23" s="100"/>
      <c r="F23" s="100"/>
      <c r="G23" s="100"/>
      <c r="H23" s="100"/>
    </row>
    <row r="24" spans="1:14" x14ac:dyDescent="0.25">
      <c r="A24" t="s">
        <v>85</v>
      </c>
      <c r="B24" s="3">
        <v>0</v>
      </c>
      <c r="D24" s="100">
        <f ca="1">CELL("contents",J24)</f>
        <v>0</v>
      </c>
      <c r="E24" s="100">
        <f ca="1">CELL("contents",K24)</f>
        <v>0</v>
      </c>
      <c r="F24" s="100">
        <f ca="1">CELL("contents",L24)</f>
        <v>0</v>
      </c>
      <c r="G24" s="100">
        <f ca="1">CELL("contents",M24)</f>
        <v>0</v>
      </c>
      <c r="H24" s="100">
        <f ca="1">CELL("contents",N24)</f>
        <v>0</v>
      </c>
      <c r="J24">
        <f>$B$24/1000*$J$6/1000</f>
        <v>0</v>
      </c>
      <c r="K24">
        <f>$B$24/1000</f>
        <v>0</v>
      </c>
      <c r="L24">
        <f>$B$24</f>
        <v>0</v>
      </c>
      <c r="M24">
        <f>$B$24*1000</f>
        <v>0</v>
      </c>
      <c r="N24">
        <f>$B$24*1000000</f>
        <v>0</v>
      </c>
    </row>
    <row r="25" spans="1:14" x14ac:dyDescent="0.25">
      <c r="D25" s="100"/>
      <c r="E25" s="100"/>
      <c r="F25" s="100"/>
      <c r="G25" s="100"/>
      <c r="H25" s="100"/>
    </row>
    <row r="26" spans="1:14" x14ac:dyDescent="0.25">
      <c r="A26" s="10" t="s">
        <v>86</v>
      </c>
      <c r="B26" s="3">
        <v>0</v>
      </c>
      <c r="D26" s="100">
        <f ca="1">CELL("contents",J26)</f>
        <v>0</v>
      </c>
      <c r="E26" s="100">
        <f ca="1">CELL("contents",K26)</f>
        <v>0</v>
      </c>
      <c r="F26" s="100">
        <f ca="1">CELL("contents",L26)</f>
        <v>0</v>
      </c>
      <c r="G26" s="100">
        <f ca="1">CELL("contents",M26)</f>
        <v>0</v>
      </c>
      <c r="H26" s="100">
        <f ca="1">CELL("contents",N26)</f>
        <v>0</v>
      </c>
      <c r="J26">
        <f>$B$26/1000000*$J$6/1000</f>
        <v>0</v>
      </c>
      <c r="K26">
        <f>$B$26/1000000</f>
        <v>0</v>
      </c>
      <c r="L26">
        <f>$B$26/1000</f>
        <v>0</v>
      </c>
      <c r="M26">
        <f>$B$26</f>
        <v>0</v>
      </c>
      <c r="N26">
        <f>$B$26*1000</f>
        <v>0</v>
      </c>
    </row>
    <row r="27" spans="1:14" x14ac:dyDescent="0.25">
      <c r="D27" s="100"/>
      <c r="E27" s="100"/>
      <c r="F27" s="100"/>
      <c r="G27" s="100"/>
      <c r="H27" s="100"/>
    </row>
    <row r="28" spans="1:14" x14ac:dyDescent="0.25">
      <c r="A28" s="10" t="s">
        <v>73</v>
      </c>
      <c r="B28" s="3">
        <v>0</v>
      </c>
      <c r="D28" s="100">
        <f ca="1">CELL("contents",J28)</f>
        <v>0</v>
      </c>
      <c r="E28" s="100">
        <f ca="1">CELL("contents",K28)</f>
        <v>0</v>
      </c>
      <c r="F28" s="100">
        <f ca="1">CELL("contents",L28)</f>
        <v>0</v>
      </c>
      <c r="G28" s="100">
        <f ca="1">CELL("contents",M28)</f>
        <v>0</v>
      </c>
      <c r="H28" s="100">
        <f ca="1">CELL("contents",N28)</f>
        <v>0</v>
      </c>
      <c r="J28">
        <f>$B$28/1000000000*$J$6/1000</f>
        <v>0</v>
      </c>
      <c r="K28">
        <f>$B$28/1000000000</f>
        <v>0</v>
      </c>
      <c r="L28">
        <f>$B$28/1000000</f>
        <v>0</v>
      </c>
      <c r="M28">
        <f>$B$28/1000</f>
        <v>0</v>
      </c>
      <c r="N28">
        <f>$B$28</f>
        <v>0</v>
      </c>
    </row>
  </sheetData>
  <sheetProtection algorithmName="SHA-512" hashValue="T/YAVIHKu5n9ItDL/aj4B05UnzPPoWnZWIKXeuZ5y7ScIFKH2tnG8VvOeTr3uOsedFK2vvGz4+rEAA2+z36uVA==" saltValue="YhV4Tc85kKIAKavEiAPgTg==" spinCount="100000" sheet="1" object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rekentool</vt:lpstr>
      <vt:lpstr>omrekenen</vt:lpstr>
      <vt:lpstr>rekentool!Print_Area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Derikx, Piet</dc:creator>
  <cp:lastModifiedBy>Kooi, Bram van de</cp:lastModifiedBy>
  <cp:lastPrinted>2015-10-14T15:55:07Z</cp:lastPrinted>
  <dcterms:created xsi:type="dcterms:W3CDTF">2015-02-17T09:43:11Z</dcterms:created>
  <dcterms:modified xsi:type="dcterms:W3CDTF">2024-03-08T10:04:43Z</dcterms:modified>
</cp:coreProperties>
</file>